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<sst xmlns="http://schemas.openxmlformats.org/spreadsheetml/2006/main" count="621" uniqueCount="193">
  <si>
    <t/>
  </si>
  <si>
    <t>Наименование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</si>
  <si>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</si>
  <si>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</si>
  <si>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</si>
  <si>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</si>
  <si>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</si>
  <si>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</si>
  <si>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</si>
  <si>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0020400</t>
  </si>
  <si>
    <t>Центральный аппарат</t>
  </si>
  <si>
    <t>240</t>
  </si>
  <si>
    <t>Иные закупки товаров, работ и услуг для обеспечения государственных (муниципальных) нужд</t>
  </si>
  <si>
    <t>Публичные нормативные выплаты гражданам несоциального характера</t>
  </si>
  <si>
    <t>850</t>
  </si>
  <si>
    <t>Уплата налогов, сборов и иных платежей</t>
  </si>
  <si>
    <t>3004214</t>
  </si>
  <si>
    <t>Создание и обеспечение деятельности административных комиссий и определения перечня должностных лиц, уполномоченных составлять протоколы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</si>
  <si>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</si>
  <si>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</si>
  <si>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0021500</t>
  </si>
  <si>
    <t>Межбюджетные трансферты, передаваемые бюджету муниципального района из бюджета поселения на осуществление полномочий контрольно-счетного органа поселения по внешнему муниципальному финансовому контролю</t>
  </si>
  <si>
    <t>540</t>
  </si>
  <si>
    <t>Иные межбюджетные трансферты</t>
  </si>
  <si>
    <t>0107</t>
  </si>
  <si>
    <t>Обеспечение проведения выборов и референдумов</t>
  </si>
  <si>
    <t>0420000</t>
  </si>
  <si>
    <t>Обеспечение выборов в представительный орган поселения</t>
  </si>
  <si>
    <t>0113</t>
  </si>
  <si>
    <t>Другие общегосударственные вопросы</t>
  </si>
  <si>
    <t>0900200</t>
  </si>
  <si>
    <t>Оценка недвижимости, признание прав и регулирование отношений по муниципальной собственности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</si>
  <si>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</si>
  <si>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</si>
  <si>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</si>
  <si>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</si>
  <si>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0314</t>
  </si>
  <si>
    <t>Другие вопросы в области национальной безопасности и правоохранительной деятельности</t>
  </si>
  <si>
    <t>0409</t>
  </si>
  <si>
    <t>Дорожное хозяйство (дорожные фонды)</t>
  </si>
  <si>
    <t>8202200</t>
  </si>
  <si>
    <t>Содержание и ремонт дорог и инженерных сооружений на них</t>
  </si>
  <si>
    <t>8202300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</si>
  <si>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</si>
  <si>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</si>
  <si>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</si>
  <si>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0310200</t>
  </si>
  <si>
    <t>Обеспечение деятельности муниципального казенного учреждения в области архитектуры и градостроительства</t>
  </si>
  <si>
    <t>110</t>
  </si>
  <si>
    <t>Расходы на выплаты персоналу казенных учреждений</t>
  </si>
  <si>
    <t>0501</t>
  </si>
  <si>
    <t>Жилищное хозяйство</t>
  </si>
  <si>
    <t>410</t>
  </si>
  <si>
    <t>Бюджетные инвестиции</t>
  </si>
  <si>
    <t>3500300</t>
  </si>
  <si>
    <t>Мероприятия в области жилищного хозяйства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</si>
  <si>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</si>
  <si>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</si>
  <si>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0502</t>
  </si>
  <si>
    <t>Коммунальное хозяйство</t>
  </si>
  <si>
    <t>Мероприятия в области коммунального хозяйства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</si>
  <si>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</si>
  <si>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</si>
  <si>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Мероприятия в области коммунального хозяйства в части софинансирования расходов на реализацию мероприятий по газификации</t>
  </si>
  <si>
    <t>0503</t>
  </si>
  <si>
    <t>Благоустройство</t>
  </si>
  <si>
    <t>6000100</t>
  </si>
  <si>
    <t>Уличное освещение</t>
  </si>
  <si>
    <t>6000300</t>
  </si>
  <si>
    <t>Озеленение</t>
  </si>
  <si>
    <t>6000400</t>
  </si>
  <si>
    <t>Организация и содержание мест захоронения</t>
  </si>
  <si>
    <t>6000500</t>
  </si>
  <si>
    <t>Мероприятия по благоустройству</t>
  </si>
  <si>
    <t>6000550</t>
  </si>
  <si>
    <t>0505</t>
  </si>
  <si>
    <t>Другие вопросы в области жилищно-коммунального хозяйства</t>
  </si>
  <si>
    <t>0310100</t>
  </si>
  <si>
    <t>Обеспечение деятельности муниципального казенного учреждения по выполнению функций городского хозяйства</t>
  </si>
  <si>
    <t>0707</t>
  </si>
  <si>
    <t>Молодежная политика и оздоровление детей</t>
  </si>
  <si>
    <t>4310100</t>
  </si>
  <si>
    <t>Проведение мероприятий для детей и молодежи</t>
  </si>
  <si>
    <t>0801</t>
  </si>
  <si>
    <t>Культура</t>
  </si>
  <si>
    <t>0310300</t>
  </si>
  <si>
    <t>Обеспечение деятельности муниципального казенного учреждения культуры</t>
  </si>
  <si>
    <t>1001</t>
  </si>
  <si>
    <t>Пенсионное обеспечение</t>
  </si>
  <si>
    <t>0500111</t>
  </si>
  <si>
    <t>Доплата к трудовой пенсии по старости (инвалидности) муниципальным служащим администрации Сортавальского городского поселения</t>
  </si>
  <si>
    <t>310</t>
  </si>
  <si>
    <t>Публичные нормативные социальные выплаты гражданам</t>
  </si>
  <si>
    <t>1003</t>
  </si>
  <si>
    <t>Социальное обеспечение населения</t>
  </si>
  <si>
    <t>7950200</t>
  </si>
  <si>
    <t>Муниципальная программа "Адресная социальная помощь"</t>
  </si>
  <si>
    <t>321</t>
  </si>
  <si>
    <t>Пособия, компенсации и иные социальные выплаты гражданам, кроме публичных нормативных обязательств</t>
  </si>
  <si>
    <t>323</t>
  </si>
  <si>
    <t>Приобретение товаров, работ, услуг в пользу граждан в целях их социального обеспечения</t>
  </si>
  <si>
    <t>1102</t>
  </si>
  <si>
    <t>Массовый спорт</t>
  </si>
  <si>
    <t>Мероприятия в области здравоохранения, спорта и физической культуры</t>
  </si>
  <si>
    <t>1301</t>
  </si>
  <si>
    <t>Обслуживание государственного внутреннего и муниципального долга</t>
  </si>
  <si>
    <t>0650300</t>
  </si>
  <si>
    <t xml:space="preserve">Процентные платежи по муниципальному долгу Сортавальского городского поселения
</t>
  </si>
  <si>
    <t>730</t>
  </si>
  <si>
    <t>Обслуживание муниципального долга</t>
  </si>
  <si>
    <t>Мероприятия по строительству инженерной инфраструктуры на земельных участках семьям, имеющих 3-х и более детей</t>
  </si>
  <si>
    <t>Муниципальная целевая программа "Пожарная безопасность и социальная защита на 2014-2016 годы"</t>
  </si>
  <si>
    <t>0800000</t>
  </si>
  <si>
    <t>0800100</t>
  </si>
  <si>
    <t>Мероприятия по обеспечению деятельности автоматизированных систем управления бюджетным процессом</t>
  </si>
  <si>
    <t>0800200</t>
  </si>
  <si>
    <t>0800300</t>
  </si>
  <si>
    <t>0800400</t>
  </si>
  <si>
    <t>Мероприятия по присвоению звания "Почетный гражданин города Сортавала"</t>
  </si>
  <si>
    <t>Мероприятия по прочим общегосударственным вопросам</t>
  </si>
  <si>
    <t>Мероприятия по информационному сопровождению деятельности Сортавальского городского поселения</t>
  </si>
  <si>
    <t>Реализация прочих функций, связанных с общегосударственными вопросами</t>
  </si>
  <si>
    <t xml:space="preserve">Сумма </t>
  </si>
  <si>
    <t>2016 год</t>
  </si>
  <si>
    <t>2017 год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</si>
  <si>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</si>
  <si>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</si>
  <si>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</si>
  <si>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</si>
  <si>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</si>
  <si>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000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</si>
  <si>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</si>
  <si>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</si>
  <si>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</si>
  <si>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</si>
  <si>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</si>
  <si>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</si>
  <si>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Социальная политика</t>
  </si>
  <si>
    <t>1000</t>
  </si>
  <si>
    <t>Образование</t>
  </si>
  <si>
    <t>Культура, кинематография и средства массовой информации</t>
  </si>
  <si>
    <t>Физическая культура и спорт</t>
  </si>
  <si>
    <t>0800</t>
  </si>
  <si>
    <t>0700</t>
  </si>
  <si>
    <t>1100</t>
  </si>
  <si>
    <t>Итого расходов</t>
  </si>
  <si>
    <t>тыс.руб.</t>
  </si>
  <si>
    <t>АДМИНИСТРАЦИЯ МУНИЦИПАЛЬНОГО ОБРАЗОВАНИЯ "СОРТАВАЛЬСКОЕ ГОРОДСКОЕ ПОСЕЛЕНИЕ"</t>
  </si>
  <si>
    <t>МУНИЦИПАЛЬНОЕ УЧРЕЖДЕНИЕ "АРХИТЕКТУРА И ГРАДОСТРОИТЕЛЬСТВО ГОРОДА СОРТАВАЛА"</t>
  </si>
  <si>
    <t>МУНИЦИПАЛЬНОЕ УЧРЕЖДЕНИЕ "ГОРОДСКОЕ ХОЗЯЙСТВО"</t>
  </si>
  <si>
    <t>МУНИЦИПАЛЬНОЕ УЧРЕЖДЕНИЕ "ЦЕНТР ДОСУГА"</t>
  </si>
  <si>
    <t>Формирование земельных участков, находящихся в муниципальной собственности</t>
  </si>
  <si>
    <t>2015 год</t>
  </si>
  <si>
    <t>2,00</t>
  </si>
  <si>
    <t>Обеспечение выборов главы муниципального образования</t>
  </si>
  <si>
    <t>0410000</t>
  </si>
  <si>
    <t>Резервный фонд</t>
  </si>
  <si>
    <t>0111</t>
  </si>
  <si>
    <t>Резервный фонд администрации Сортавальского городского поселения</t>
  </si>
  <si>
    <t>Резервные средства</t>
  </si>
  <si>
    <t>Мероприятия по исполнению судебного решения по монтажу наплавного моста</t>
  </si>
  <si>
    <t>Исполнение судебных актов</t>
  </si>
  <si>
    <t>Мероприятия в области строительства, архитектуры, градостроительства и землеустройства</t>
  </si>
  <si>
    <t>Формирование земельных участков, находящихся в муниципальной собственности по договорам прошлых лет</t>
  </si>
  <si>
    <t>Формирование, проведение кадастрового учета, обеспечение объектами инженерной инфраструктуры земельных участков, находящихся в муниципальной собственности, которые предназначены для малоэтажного жилищного строительства в целях переселения граждан из аварийного жилищного фонда</t>
  </si>
  <si>
    <t>Разработка проектно-сметной документации на строительство инженерной инфраструктуры на земельных участках семьям, имеющих 3-х и более детей</t>
  </si>
  <si>
    <t xml:space="preserve">Мероприятия по Региональной программе капитального ремонта многоквартирных домов </t>
  </si>
  <si>
    <t>Муниципальная целевая программа "Оборудование детских игровых (спортивных) площадок на придомовых территориях мноквартирных домов СГП в 2015 году"</t>
  </si>
  <si>
    <t>Фонд оплаты труда муниципальных органов и взносы по обязательному социальному страхованию</t>
  </si>
  <si>
    <t>Иные выплаты персоналу муниципальных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</si>
  <si>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</si>
  <si>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работ, услуг для обеспечения муниципальных нужд</t>
  </si>
  <si>
    <t>Уплата налога на имущество организаций и земельного налога</t>
  </si>
  <si>
    <t>Бюджетные инвестиции в объекты капитального строительства госудасртвенной (муниципальной) собственности</t>
  </si>
  <si>
    <t>Закупка товаров, работ, услуг в целях капитального ремонта государственного (муниципального) имущества</t>
  </si>
  <si>
    <t>Иные пенсии, социальные доплаты к пенсиям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</si>
  <si>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</si>
  <si>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</si>
  <si>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Уплата прочих налогов, сборов</t>
  </si>
  <si>
    <t xml:space="preserve"> СВОДНАЯ БЮДЖЕТНАЯ РОСПИСЬ БЮДЖЕТА СОРТАВАЛЬСКОГО ГОРОДСКОГО ПОСЕЛЕНИЯ В СООТВЕТСТВИИ С РЕШЕНИЕМ СОВЕТА СОРТАВАЛЬСКОГО ГОРОДСКОГО ПОСЕЛЕНИЯ № 131 ОТ 27 НОЯБРЯ 2015 ГОДА" О ВНЕСЕНИИ ИЗМЕНЕНИЙ И ДОПОЛНЕНИЙ В РЕШЕНИЕ СОВЕТА СОРТАВАЛЬСКОГО ГОРОДСКОГО ПОСЕЛЕНИЯ № 73 ОТ 24 ДЕКАБРЯ 2014 ГОДА "О БЮДЖЕТЕ СОРТАВАЛЬСКОГО ГОРОДСКОГО ПОСЕЛЕНИЯ НА 2015 ГОД И ПЛАНОВЫЙ ПЕРИОД  2016-2017 ГОДОВ"</t>
  </si>
  <si>
    <t>Мероприятия по проведению Дня Республики Карелия по ремонту дорог в рамках софинансирования расходов</t>
  </si>
  <si>
    <t>Реализация мероприятий государственной программы "Развитие транспортной системы в Репсублике Карелия на 2014-2020 годы" за счет средств субсидий РК</t>
  </si>
  <si>
    <t>Мероприятия по проведению Дня Республики Карелия за счет иных межбюджетных трансфертов</t>
  </si>
  <si>
    <t>Обеспечение мероприятий по переселению граждан из аварийного жилищного фонда за счет средств бюджета Сортавальского городского поселения</t>
  </si>
  <si>
    <t>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бюджета Сортавальского городского поселения</t>
  </si>
  <si>
    <t>0310313</t>
  </si>
  <si>
    <t>Софинансирование расходов по оплате труда работников культуры по дополнительной поддержке на реализацию мер, предусмотренных указом Президента РФ № 597 от 07 мая 2012 года</t>
  </si>
  <si>
    <t>9104406</t>
  </si>
  <si>
    <t>9205148</t>
  </si>
  <si>
    <t>Выплата денежного поощрения лучшим работникам культуры за счет иных межбюджетных трансфертов</t>
  </si>
  <si>
    <t>9304313</t>
  </si>
  <si>
    <t>Субсидия на реализацию мер, предусмотренных Указом Президента РФ от 07 мая 2012 года №597 "О мероприятиях по реализации государственной социальной политики"</t>
  </si>
  <si>
    <t>Муниципальная  целевая программа "Профилактика правонарушений в Сортавальском городском поселении на 2015-2017 годы"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</si>
</sst>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;[Red]0.00"/>
    <numFmt numFmtId="167" formatCode="0.000"/>
    <numFmt numFmtId="168" formatCode="0.0000"/>
    <numFmt numFmtId="169" formatCode="000"/>
  </numFmts>
  <fonts count="27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sz val="8"/>
      <name val="Arial"/>
      <family val="0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3" borderId="1" applyNumberFormat="0" applyAlignment="0" applyProtection="0"/>
    <xf numFmtId="0" fontId="12" fillId="9" borderId="2" applyNumberFormat="0" applyAlignment="0" applyProtection="0"/>
    <xf numFmtId="0" fontId="13" fillId="9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4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0" fillId="0" borderId="0">
      <alignment/>
      <protection/>
    </xf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1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292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5" fillId="4" borderId="0" xfId="0" applyNumberFormat="1" applyFont="1" applyFill="1" applyAlignment="1">
      <alignment vertical="center" wrapText="1"/>
    </xf>
    <xf numFmtId="0" fontId="5" fillId="4" borderId="0" xfId="0" applyNumberFormat="1" applyFont="1" applyFill="1" applyBorder="1" applyAlignment="1">
      <alignment horizontal="center" vertical="center" wrapText="1"/>
    </xf>
    <xf numFmtId="0" fontId="6" fillId="4" borderId="0" xfId="0" applyNumberFormat="1" applyFont="1" applyFill="1" applyBorder="1" applyAlignment="1">
      <alignment vertical="center" wrapText="1"/>
    </xf>
    <xf numFmtId="0" fontId="6" fillId="4" borderId="0" xfId="0" applyNumberFormat="1" applyFont="1" applyFill="1" applyBorder="1" applyAlignment="1">
      <alignment vertical="top" wrapText="1"/>
    </xf>
    <xf numFmtId="0" fontId="6" fillId="18" borderId="10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7" fillId="0" borderId="11" xfId="0" applyNumberFormat="1" applyFont="1" applyBorder="1" applyAlignment="1">
      <alignment horizontal="center" vertical="center"/>
    </xf>
    <xf numFmtId="165" fontId="8" fillId="18" borderId="12" xfId="0" applyNumberFormat="1" applyFont="1" applyFill="1" applyBorder="1" applyAlignment="1">
      <alignment horizontal="center" vertical="center"/>
    </xf>
    <xf numFmtId="165" fontId="8" fillId="0" borderId="12" xfId="0" applyNumberFormat="1" applyFont="1" applyBorder="1" applyAlignment="1">
      <alignment horizontal="center" vertical="center"/>
    </xf>
    <xf numFmtId="165" fontId="8" fillId="18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4" borderId="13" xfId="0" applyNumberFormat="1" applyFont="1" applyFill="1" applyBorder="1" applyAlignment="1">
      <alignment horizontal="center" vertical="center" wrapText="1"/>
    </xf>
    <xf numFmtId="49" fontId="6" fillId="4" borderId="1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18" borderId="13" xfId="0" applyNumberFormat="1" applyFont="1" applyFill="1" applyBorder="1" applyAlignment="1">
      <alignment horizontal="center" vertical="center" wrapText="1"/>
    </xf>
    <xf numFmtId="0" fontId="6" fillId="4" borderId="14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/>
    </xf>
    <xf numFmtId="165" fontId="5" fillId="0" borderId="15" xfId="0" applyNumberFormat="1" applyFont="1" applyFill="1" applyBorder="1" applyAlignment="1">
      <alignment horizontal="center" vertical="center" wrapText="1"/>
    </xf>
    <xf numFmtId="165" fontId="5" fillId="18" borderId="15" xfId="0" applyNumberFormat="1" applyFont="1" applyFill="1" applyBorder="1" applyAlignment="1">
      <alignment horizontal="center" vertical="center" wrapText="1"/>
    </xf>
    <xf numFmtId="49" fontId="5" fillId="10" borderId="13" xfId="0" applyNumberFormat="1" applyFont="1" applyFill="1" applyBorder="1" applyAlignment="1">
      <alignment horizontal="center" vertical="center" wrapText="1"/>
    </xf>
    <xf numFmtId="0" fontId="5" fillId="10" borderId="13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6" fillId="4" borderId="12" xfId="0" applyNumberFormat="1" applyFont="1" applyFill="1" applyBorder="1" applyAlignment="1">
      <alignment horizontal="center" vertical="center" wrapText="1"/>
    </xf>
    <xf numFmtId="4" fontId="5" fillId="18" borderId="12" xfId="0" applyNumberFormat="1" applyFont="1" applyFill="1" applyBorder="1" applyAlignment="1">
      <alignment horizontal="center" vertical="center" wrapText="1"/>
    </xf>
    <xf numFmtId="0" fontId="5" fillId="18" borderId="16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6" fillId="4" borderId="17" xfId="0" applyNumberFormat="1" applyFont="1" applyFill="1" applyBorder="1" applyAlignment="1">
      <alignment horizontal="center" vertical="center" wrapText="1"/>
    </xf>
    <xf numFmtId="0" fontId="6" fillId="4" borderId="18" xfId="0" applyNumberFormat="1" applyFont="1" applyFill="1" applyBorder="1" applyAlignment="1">
      <alignment horizontal="center" vertical="center" wrapText="1"/>
    </xf>
    <xf numFmtId="0" fontId="6" fillId="4" borderId="19" xfId="0" applyNumberFormat="1" applyFont="1" applyFill="1" applyBorder="1" applyAlignment="1">
      <alignment horizontal="center" vertical="center" wrapText="1"/>
    </xf>
    <xf numFmtId="2" fontId="6" fillId="4" borderId="18" xfId="0" applyNumberFormat="1" applyFont="1" applyFill="1" applyBorder="1" applyAlignment="1">
      <alignment horizontal="center" vertical="center" wrapText="1"/>
    </xf>
    <xf numFmtId="0" fontId="6" fillId="4" borderId="16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4" borderId="20" xfId="0" applyNumberFormat="1" applyFont="1" applyFill="1" applyBorder="1" applyAlignment="1">
      <alignment horizontal="center" vertical="center" wrapText="1"/>
    </xf>
    <xf numFmtId="0" fontId="6" fillId="4" borderId="10" xfId="0" applyNumberFormat="1" applyFont="1" applyFill="1" applyBorder="1" applyAlignment="1">
      <alignment horizontal="center" vertical="center" wrapText="1"/>
    </xf>
    <xf numFmtId="0" fontId="6" fillId="4" borderId="12" xfId="0" applyNumberFormat="1" applyFont="1" applyFill="1" applyBorder="1" applyAlignment="1">
      <alignment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2" fontId="6" fillId="4" borderId="17" xfId="0" applyNumberFormat="1" applyFont="1" applyFill="1" applyBorder="1" applyAlignment="1">
      <alignment horizontal="center" vertical="center" wrapText="1"/>
    </xf>
    <xf numFmtId="2" fontId="6" fillId="4" borderId="19" xfId="0" applyNumberFormat="1" applyFont="1" applyFill="1" applyBorder="1" applyAlignment="1">
      <alignment horizontal="center" vertical="center" wrapText="1"/>
    </xf>
    <xf numFmtId="2" fontId="6" fillId="4" borderId="16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6" fillId="4" borderId="12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5" fillId="4" borderId="22" xfId="0" applyNumberFormat="1" applyFont="1" applyFill="1" applyBorder="1" applyAlignment="1">
      <alignment horizontal="center" vertical="center" wrapText="1"/>
    </xf>
    <xf numFmtId="2" fontId="5" fillId="4" borderId="16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4" borderId="22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4" borderId="12" xfId="0" applyNumberFormat="1" applyFont="1" applyFill="1" applyBorder="1" applyAlignment="1">
      <alignment horizontal="center" vertical="center" wrapText="1"/>
    </xf>
    <xf numFmtId="166" fontId="6" fillId="4" borderId="22" xfId="0" applyNumberFormat="1" applyFont="1" applyFill="1" applyBorder="1" applyAlignment="1">
      <alignment horizontal="center" vertical="center" wrapText="1"/>
    </xf>
    <xf numFmtId="166" fontId="6" fillId="4" borderId="16" xfId="0" applyNumberFormat="1" applyFont="1" applyFill="1" applyBorder="1" applyAlignment="1">
      <alignment horizontal="center" vertical="center" wrapText="1"/>
    </xf>
    <xf numFmtId="2" fontId="6" fillId="0" borderId="23" xfId="0" applyNumberFormat="1" applyFont="1" applyFill="1" applyBorder="1" applyAlignment="1">
      <alignment horizontal="center" vertical="center" wrapText="1"/>
    </xf>
    <xf numFmtId="2" fontId="5" fillId="10" borderId="18" xfId="0" applyNumberFormat="1" applyFont="1" applyFill="1" applyBorder="1" applyAlignment="1">
      <alignment horizontal="center" vertical="center" wrapText="1"/>
    </xf>
    <xf numFmtId="49" fontId="5" fillId="10" borderId="10" xfId="0" applyNumberFormat="1" applyFont="1" applyFill="1" applyBorder="1" applyAlignment="1">
      <alignment horizontal="center" vertical="center" wrapText="1"/>
    </xf>
    <xf numFmtId="0" fontId="6" fillId="4" borderId="24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2" fontId="5" fillId="10" borderId="15" xfId="0" applyNumberFormat="1" applyFont="1" applyFill="1" applyBorder="1" applyAlignment="1">
      <alignment horizontal="center" vertical="center" wrapText="1"/>
    </xf>
    <xf numFmtId="2" fontId="8" fillId="10" borderId="12" xfId="0" applyNumberFormat="1" applyFont="1" applyFill="1" applyBorder="1" applyAlignment="1">
      <alignment horizontal="center" vertical="center"/>
    </xf>
    <xf numFmtId="166" fontId="5" fillId="10" borderId="15" xfId="0" applyNumberFormat="1" applyFont="1" applyFill="1" applyBorder="1" applyAlignment="1">
      <alignment horizontal="center" vertical="center" wrapText="1"/>
    </xf>
    <xf numFmtId="166" fontId="8" fillId="10" borderId="12" xfId="0" applyNumberFormat="1" applyFont="1" applyFill="1" applyBorder="1" applyAlignment="1">
      <alignment horizontal="center" vertical="center"/>
    </xf>
    <xf numFmtId="166" fontId="5" fillId="0" borderId="18" xfId="0" applyNumberFormat="1" applyFont="1" applyFill="1" applyBorder="1" applyAlignment="1">
      <alignment horizontal="center" vertical="center" wrapText="1"/>
    </xf>
    <xf numFmtId="166" fontId="5" fillId="0" borderId="15" xfId="0" applyNumberFormat="1" applyFont="1" applyFill="1" applyBorder="1" applyAlignment="1">
      <alignment horizontal="center" vertical="center" wrapText="1"/>
    </xf>
    <xf numFmtId="166" fontId="8" fillId="0" borderId="12" xfId="0" applyNumberFormat="1" applyFont="1" applyBorder="1" applyAlignment="1">
      <alignment horizontal="center" vertical="center"/>
    </xf>
    <xf numFmtId="166" fontId="6" fillId="4" borderId="18" xfId="0" applyNumberFormat="1" applyFont="1" applyFill="1" applyBorder="1" applyAlignment="1">
      <alignment horizontal="center" vertical="center" wrapText="1"/>
    </xf>
    <xf numFmtId="166" fontId="6" fillId="0" borderId="15" xfId="0" applyNumberFormat="1" applyFont="1" applyFill="1" applyBorder="1" applyAlignment="1">
      <alignment horizontal="center" vertical="center" wrapText="1"/>
    </xf>
    <xf numFmtId="166" fontId="7" fillId="0" borderId="12" xfId="0" applyNumberFormat="1" applyFont="1" applyBorder="1" applyAlignment="1">
      <alignment horizontal="center" vertical="center"/>
    </xf>
    <xf numFmtId="166" fontId="5" fillId="10" borderId="17" xfId="0" applyNumberFormat="1" applyFont="1" applyFill="1" applyBorder="1" applyAlignment="1">
      <alignment horizontal="center" vertical="center" wrapText="1"/>
    </xf>
    <xf numFmtId="166" fontId="6" fillId="4" borderId="19" xfId="0" applyNumberFormat="1" applyFont="1" applyFill="1" applyBorder="1" applyAlignment="1">
      <alignment horizontal="center" vertical="center" wrapText="1"/>
    </xf>
    <xf numFmtId="2" fontId="5" fillId="10" borderId="12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2" fontId="6" fillId="4" borderId="25" xfId="0" applyNumberFormat="1" applyFont="1" applyFill="1" applyBorder="1" applyAlignment="1">
      <alignment horizontal="center" vertical="center" wrapText="1"/>
    </xf>
    <xf numFmtId="2" fontId="6" fillId="4" borderId="20" xfId="0" applyNumberFormat="1" applyFont="1" applyFill="1" applyBorder="1" applyAlignment="1">
      <alignment horizontal="center" vertical="center" wrapText="1"/>
    </xf>
    <xf numFmtId="2" fontId="6" fillId="4" borderId="26" xfId="0" applyNumberFormat="1" applyFont="1" applyFill="1" applyBorder="1" applyAlignment="1">
      <alignment horizontal="center" vertical="center" wrapText="1"/>
    </xf>
    <xf numFmtId="2" fontId="6" fillId="4" borderId="15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/>
    </xf>
    <xf numFmtId="4" fontId="5" fillId="10" borderId="18" xfId="0" applyNumberFormat="1" applyFont="1" applyFill="1" applyBorder="1" applyAlignment="1">
      <alignment horizontal="center" vertical="center" wrapText="1"/>
    </xf>
    <xf numFmtId="2" fontId="8" fillId="10" borderId="12" xfId="0" applyNumberFormat="1" applyFont="1" applyFill="1" applyBorder="1" applyAlignment="1">
      <alignment horizontal="center" vertical="center"/>
    </xf>
    <xf numFmtId="2" fontId="5" fillId="10" borderId="17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/>
    </xf>
    <xf numFmtId="2" fontId="5" fillId="18" borderId="12" xfId="0" applyNumberFormat="1" applyFont="1" applyFill="1" applyBorder="1" applyAlignment="1">
      <alignment horizontal="center" vertical="center" wrapText="1"/>
    </xf>
    <xf numFmtId="2" fontId="5" fillId="18" borderId="15" xfId="0" applyNumberFormat="1" applyFont="1" applyFill="1" applyBorder="1" applyAlignment="1">
      <alignment horizontal="center" vertical="center" wrapText="1"/>
    </xf>
    <xf numFmtId="2" fontId="8" fillId="18" borderId="12" xfId="0" applyNumberFormat="1" applyFont="1" applyFill="1" applyBorder="1" applyAlignment="1">
      <alignment horizontal="center" vertical="center"/>
    </xf>
    <xf numFmtId="2" fontId="6" fillId="10" borderId="15" xfId="0" applyNumberFormat="1" applyFont="1" applyFill="1" applyBorder="1" applyAlignment="1">
      <alignment horizontal="center" vertical="center" wrapText="1"/>
    </xf>
    <xf numFmtId="2" fontId="7" fillId="10" borderId="12" xfId="0" applyNumberFormat="1" applyFont="1" applyFill="1" applyBorder="1" applyAlignment="1">
      <alignment horizontal="center" vertical="center"/>
    </xf>
    <xf numFmtId="2" fontId="8" fillId="18" borderId="12" xfId="0" applyNumberFormat="1" applyFont="1" applyFill="1" applyBorder="1" applyAlignment="1">
      <alignment horizontal="center" vertical="center"/>
    </xf>
    <xf numFmtId="166" fontId="6" fillId="4" borderId="26" xfId="0" applyNumberFormat="1" applyFont="1" applyFill="1" applyBorder="1" applyAlignment="1">
      <alignment horizontal="center" vertical="center" wrapText="1"/>
    </xf>
    <xf numFmtId="166" fontId="6" fillId="4" borderId="15" xfId="0" applyNumberFormat="1" applyFont="1" applyFill="1" applyBorder="1" applyAlignment="1">
      <alignment horizontal="center" vertical="center" wrapText="1"/>
    </xf>
    <xf numFmtId="2" fontId="5" fillId="18" borderId="17" xfId="0" applyNumberFormat="1" applyFont="1" applyFill="1" applyBorder="1" applyAlignment="1">
      <alignment horizontal="center" vertical="center" wrapText="1"/>
    </xf>
    <xf numFmtId="2" fontId="5" fillId="4" borderId="26" xfId="0" applyNumberFormat="1" applyFont="1" applyFill="1" applyBorder="1" applyAlignment="1">
      <alignment horizontal="center" vertical="center" wrapText="1"/>
    </xf>
    <xf numFmtId="2" fontId="5" fillId="4" borderId="15" xfId="0" applyNumberFormat="1" applyFont="1" applyFill="1" applyBorder="1" applyAlignment="1">
      <alignment horizontal="center" vertical="center" wrapText="1"/>
    </xf>
    <xf numFmtId="2" fontId="5" fillId="4" borderId="18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6" fillId="4" borderId="0" xfId="0" applyNumberFormat="1" applyFont="1" applyFill="1" applyBorder="1" applyAlignment="1">
      <alignment horizontal="center" vertical="center" wrapText="1"/>
    </xf>
    <xf numFmtId="0" fontId="6" fillId="4" borderId="21" xfId="0" applyNumberFormat="1" applyFont="1" applyFill="1" applyBorder="1" applyAlignment="1">
      <alignment horizontal="center" vertical="center" wrapText="1"/>
    </xf>
    <xf numFmtId="2" fontId="6" fillId="4" borderId="21" xfId="0" applyNumberFormat="1" applyFont="1" applyFill="1" applyBorder="1" applyAlignment="1">
      <alignment horizontal="center" vertical="center" wrapText="1"/>
    </xf>
    <xf numFmtId="2" fontId="5" fillId="0" borderId="27" xfId="0" applyNumberFormat="1" applyFont="1" applyFill="1" applyBorder="1" applyAlignment="1">
      <alignment horizontal="center" vertical="center" wrapText="1"/>
    </xf>
    <xf numFmtId="2" fontId="6" fillId="0" borderId="27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horizontal="center" vertical="center" wrapText="1"/>
    </xf>
    <xf numFmtId="2" fontId="6" fillId="0" borderId="29" xfId="0" applyNumberFormat="1" applyFont="1" applyFill="1" applyBorder="1" applyAlignment="1">
      <alignment horizontal="center" vertical="center" wrapText="1"/>
    </xf>
    <xf numFmtId="2" fontId="7" fillId="0" borderId="21" xfId="0" applyNumberFormat="1" applyFont="1" applyBorder="1" applyAlignment="1">
      <alignment horizontal="center" vertical="center"/>
    </xf>
    <xf numFmtId="2" fontId="6" fillId="4" borderId="30" xfId="0" applyNumberFormat="1" applyFont="1" applyFill="1" applyBorder="1" applyAlignment="1">
      <alignment horizontal="center" vertical="center" wrapText="1"/>
    </xf>
    <xf numFmtId="2" fontId="6" fillId="4" borderId="23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/>
    </xf>
    <xf numFmtId="2" fontId="6" fillId="4" borderId="31" xfId="0" applyNumberFormat="1" applyFont="1" applyFill="1" applyBorder="1" applyAlignment="1">
      <alignment horizontal="center" vertical="center" wrapText="1"/>
    </xf>
    <xf numFmtId="2" fontId="6" fillId="4" borderId="32" xfId="0" applyNumberFormat="1" applyFont="1" applyFill="1" applyBorder="1" applyAlignment="1">
      <alignment horizontal="center" vertical="center" wrapText="1"/>
    </xf>
    <xf numFmtId="2" fontId="6" fillId="4" borderId="33" xfId="0" applyNumberFormat="1" applyFont="1" applyFill="1" applyBorder="1" applyAlignment="1">
      <alignment horizontal="center" vertical="center" wrapText="1"/>
    </xf>
    <xf numFmtId="2" fontId="6" fillId="4" borderId="34" xfId="0" applyNumberFormat="1" applyFont="1" applyFill="1" applyBorder="1" applyAlignment="1">
      <alignment horizontal="center" vertical="center" wrapText="1"/>
    </xf>
    <xf numFmtId="2" fontId="6" fillId="4" borderId="35" xfId="0" applyNumberFormat="1" applyFont="1" applyFill="1" applyBorder="1" applyAlignment="1">
      <alignment horizontal="center" vertical="center" wrapText="1"/>
    </xf>
    <xf numFmtId="49" fontId="6" fillId="4" borderId="14" xfId="0" applyNumberFormat="1" applyFont="1" applyFill="1" applyBorder="1" applyAlignment="1">
      <alignment horizontal="center" vertical="center" wrapText="1"/>
    </xf>
    <xf numFmtId="0" fontId="5" fillId="18" borderId="20" xfId="0" applyNumberFormat="1" applyFont="1" applyFill="1" applyBorder="1" applyAlignment="1">
      <alignment horizontal="center" vertical="center" wrapText="1"/>
    </xf>
    <xf numFmtId="0" fontId="5" fillId="18" borderId="18" xfId="0" applyNumberFormat="1" applyFont="1" applyFill="1" applyBorder="1" applyAlignment="1">
      <alignment horizontal="center" vertical="center" wrapText="1"/>
    </xf>
    <xf numFmtId="166" fontId="5" fillId="10" borderId="22" xfId="0" applyNumberFormat="1" applyFont="1" applyFill="1" applyBorder="1" applyAlignment="1">
      <alignment horizontal="center" vertical="center" wrapText="1"/>
    </xf>
    <xf numFmtId="166" fontId="5" fillId="10" borderId="16" xfId="0" applyNumberFormat="1" applyFont="1" applyFill="1" applyBorder="1" applyAlignment="1">
      <alignment horizontal="center" vertical="center" wrapText="1"/>
    </xf>
    <xf numFmtId="2" fontId="5" fillId="18" borderId="11" xfId="0" applyNumberFormat="1" applyFont="1" applyFill="1" applyBorder="1" applyAlignment="1">
      <alignment horizontal="center" vertical="center" wrapText="1"/>
    </xf>
    <xf numFmtId="166" fontId="6" fillId="4" borderId="12" xfId="0" applyNumberFormat="1" applyFont="1" applyFill="1" applyBorder="1" applyAlignment="1">
      <alignment horizontal="center" vertical="center" wrapText="1"/>
    </xf>
    <xf numFmtId="0" fontId="6" fillId="4" borderId="21" xfId="0" applyNumberFormat="1" applyFont="1" applyFill="1" applyBorder="1" applyAlignment="1">
      <alignment vertical="center" wrapText="1"/>
    </xf>
    <xf numFmtId="2" fontId="6" fillId="4" borderId="27" xfId="0" applyNumberFormat="1" applyFont="1" applyFill="1" applyBorder="1" applyAlignment="1">
      <alignment horizontal="center" vertical="center" wrapText="1"/>
    </xf>
    <xf numFmtId="2" fontId="5" fillId="10" borderId="23" xfId="0" applyNumberFormat="1" applyFont="1" applyFill="1" applyBorder="1" applyAlignment="1">
      <alignment horizontal="center" vertical="center" wrapText="1"/>
    </xf>
    <xf numFmtId="2" fontId="6" fillId="4" borderId="15" xfId="0" applyNumberFormat="1" applyFont="1" applyFill="1" applyBorder="1" applyAlignment="1">
      <alignment horizontal="center" vertical="center" wrapText="1"/>
    </xf>
    <xf numFmtId="2" fontId="6" fillId="4" borderId="18" xfId="0" applyNumberFormat="1" applyFont="1" applyFill="1" applyBorder="1" applyAlignment="1">
      <alignment horizontal="center" vertical="center" wrapText="1"/>
    </xf>
    <xf numFmtId="2" fontId="6" fillId="4" borderId="12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left" vertical="top" wrapText="1"/>
    </xf>
    <xf numFmtId="49" fontId="5" fillId="10" borderId="10" xfId="0" applyNumberFormat="1" applyFont="1" applyFill="1" applyBorder="1" applyAlignment="1">
      <alignment horizontal="center" vertical="center" wrapText="1"/>
    </xf>
    <xf numFmtId="2" fontId="6" fillId="4" borderId="22" xfId="0" applyNumberFormat="1" applyFont="1" applyFill="1" applyBorder="1" applyAlignment="1">
      <alignment horizontal="center" vertical="center" wrapText="1"/>
    </xf>
    <xf numFmtId="2" fontId="6" fillId="4" borderId="16" xfId="0" applyNumberFormat="1" applyFont="1" applyFill="1" applyBorder="1" applyAlignment="1">
      <alignment horizontal="center" vertical="center" wrapText="1"/>
    </xf>
    <xf numFmtId="2" fontId="5" fillId="0" borderId="22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2" fontId="5" fillId="0" borderId="26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164" fontId="5" fillId="18" borderId="16" xfId="0" applyNumberFormat="1" applyFont="1" applyFill="1" applyBorder="1" applyAlignment="1">
      <alignment horizontal="center" vertical="center" wrapText="1"/>
    </xf>
    <xf numFmtId="164" fontId="5" fillId="18" borderId="15" xfId="0" applyNumberFormat="1" applyFont="1" applyFill="1" applyBorder="1" applyAlignment="1">
      <alignment horizontal="center" vertical="center" wrapText="1"/>
    </xf>
    <xf numFmtId="0" fontId="5" fillId="18" borderId="16" xfId="0" applyNumberFormat="1" applyFont="1" applyFill="1" applyBorder="1" applyAlignment="1">
      <alignment horizontal="center" vertical="center" wrapText="1"/>
    </xf>
    <xf numFmtId="2" fontId="5" fillId="10" borderId="16" xfId="0" applyNumberFormat="1" applyFont="1" applyFill="1" applyBorder="1" applyAlignment="1">
      <alignment horizontal="center" vertical="center" wrapText="1"/>
    </xf>
    <xf numFmtId="0" fontId="5" fillId="18" borderId="26" xfId="0" applyNumberFormat="1" applyFont="1" applyFill="1" applyBorder="1" applyAlignment="1">
      <alignment horizontal="left" vertical="top" wrapText="1"/>
    </xf>
    <xf numFmtId="0" fontId="5" fillId="18" borderId="15" xfId="0" applyNumberFormat="1" applyFont="1" applyFill="1" applyBorder="1" applyAlignment="1">
      <alignment horizontal="left" vertical="top" wrapText="1"/>
    </xf>
    <xf numFmtId="0" fontId="5" fillId="18" borderId="36" xfId="0" applyNumberFormat="1" applyFont="1" applyFill="1" applyBorder="1" applyAlignment="1">
      <alignment horizontal="left" vertical="top" wrapText="1"/>
    </xf>
    <xf numFmtId="0" fontId="5" fillId="10" borderId="37" xfId="0" applyNumberFormat="1" applyFont="1" applyFill="1" applyBorder="1" applyAlignment="1">
      <alignment horizontal="left" vertical="top" wrapText="1"/>
    </xf>
    <xf numFmtId="0" fontId="5" fillId="18" borderId="37" xfId="0" applyNumberFormat="1" applyFont="1" applyFill="1" applyBorder="1" applyAlignment="1">
      <alignment horizontal="left" vertical="top" wrapText="1"/>
    </xf>
    <xf numFmtId="2" fontId="6" fillId="4" borderId="26" xfId="0" applyNumberFormat="1" applyFont="1" applyFill="1" applyBorder="1" applyAlignment="1">
      <alignment horizontal="center" vertical="center" wrapText="1"/>
    </xf>
    <xf numFmtId="0" fontId="6" fillId="4" borderId="3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6" fillId="4" borderId="12" xfId="0" applyNumberFormat="1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left" vertical="top" wrapText="1"/>
    </xf>
    <xf numFmtId="0" fontId="6" fillId="0" borderId="15" xfId="0" applyNumberFormat="1" applyFont="1" applyFill="1" applyBorder="1" applyAlignment="1">
      <alignment horizontal="left" vertical="top" wrapText="1"/>
    </xf>
    <xf numFmtId="0" fontId="6" fillId="0" borderId="36" xfId="0" applyNumberFormat="1" applyFont="1" applyFill="1" applyBorder="1" applyAlignment="1">
      <alignment horizontal="left" vertical="top" wrapText="1"/>
    </xf>
    <xf numFmtId="0" fontId="5" fillId="0" borderId="37" xfId="0" applyNumberFormat="1" applyFont="1" applyFill="1" applyBorder="1" applyAlignment="1">
      <alignment horizontal="left" vertical="top" wrapText="1"/>
    </xf>
    <xf numFmtId="2" fontId="5" fillId="10" borderId="12" xfId="0" applyNumberFormat="1" applyFont="1" applyFill="1" applyBorder="1" applyAlignment="1">
      <alignment horizontal="center" vertical="center" wrapText="1"/>
    </xf>
    <xf numFmtId="2" fontId="5" fillId="10" borderId="26" xfId="0" applyNumberFormat="1" applyFont="1" applyFill="1" applyBorder="1" applyAlignment="1">
      <alignment horizontal="center" vertical="center" wrapText="1"/>
    </xf>
    <xf numFmtId="2" fontId="5" fillId="10" borderId="15" xfId="0" applyNumberFormat="1" applyFont="1" applyFill="1" applyBorder="1" applyAlignment="1">
      <alignment horizontal="center" vertical="center" wrapText="1"/>
    </xf>
    <xf numFmtId="2" fontId="5" fillId="10" borderId="18" xfId="0" applyNumberFormat="1" applyFont="1" applyFill="1" applyBorder="1" applyAlignment="1">
      <alignment horizontal="center" vertical="center" wrapText="1"/>
    </xf>
    <xf numFmtId="2" fontId="5" fillId="10" borderId="22" xfId="0" applyNumberFormat="1" applyFont="1" applyFill="1" applyBorder="1" applyAlignment="1">
      <alignment horizontal="center" vertical="center" wrapText="1"/>
    </xf>
    <xf numFmtId="0" fontId="6" fillId="4" borderId="16" xfId="0" applyNumberFormat="1" applyFont="1" applyFill="1" applyBorder="1" applyAlignment="1">
      <alignment horizontal="left" vertical="center" wrapText="1"/>
    </xf>
    <xf numFmtId="0" fontId="6" fillId="4" borderId="15" xfId="0" applyNumberFormat="1" applyFont="1" applyFill="1" applyBorder="1" applyAlignment="1">
      <alignment horizontal="left" vertical="center" wrapText="1"/>
    </xf>
    <xf numFmtId="0" fontId="5" fillId="0" borderId="29" xfId="0" applyNumberFormat="1" applyFont="1" applyFill="1" applyBorder="1" applyAlignment="1">
      <alignment horizontal="left" vertical="center" wrapText="1"/>
    </xf>
    <xf numFmtId="0" fontId="5" fillId="0" borderId="27" xfId="0" applyNumberFormat="1" applyFont="1" applyFill="1" applyBorder="1" applyAlignment="1">
      <alignment horizontal="left" vertical="center" wrapText="1"/>
    </xf>
    <xf numFmtId="0" fontId="6" fillId="4" borderId="39" xfId="0" applyNumberFormat="1" applyFont="1" applyFill="1" applyBorder="1" applyAlignment="1">
      <alignment horizontal="center" vertical="center" wrapText="1"/>
    </xf>
    <xf numFmtId="0" fontId="6" fillId="4" borderId="40" xfId="0" applyNumberFormat="1" applyFont="1" applyFill="1" applyBorder="1" applyAlignment="1">
      <alignment horizontal="center" vertical="center" wrapText="1"/>
    </xf>
    <xf numFmtId="0" fontId="6" fillId="4" borderId="41" xfId="0" applyNumberFormat="1" applyFont="1" applyFill="1" applyBorder="1" applyAlignment="1">
      <alignment horizontal="center" vertical="center" wrapText="1"/>
    </xf>
    <xf numFmtId="0" fontId="6" fillId="4" borderId="31" xfId="0" applyNumberFormat="1" applyFont="1" applyFill="1" applyBorder="1" applyAlignment="1">
      <alignment horizontal="center" vertical="center" wrapText="1"/>
    </xf>
    <xf numFmtId="0" fontId="6" fillId="4" borderId="26" xfId="0" applyNumberFormat="1" applyFont="1" applyFill="1" applyBorder="1" applyAlignment="1">
      <alignment horizontal="left" vertical="top" wrapText="1"/>
    </xf>
    <xf numFmtId="0" fontId="6" fillId="4" borderId="15" xfId="0" applyNumberFormat="1" applyFont="1" applyFill="1" applyBorder="1" applyAlignment="1">
      <alignment horizontal="left" vertical="top" wrapText="1"/>
    </xf>
    <xf numFmtId="0" fontId="6" fillId="4" borderId="18" xfId="0" applyNumberFormat="1" applyFont="1" applyFill="1" applyBorder="1" applyAlignment="1">
      <alignment horizontal="left" vertical="top" wrapText="1"/>
    </xf>
    <xf numFmtId="169" fontId="0" fillId="4" borderId="42" xfId="52" applyNumberFormat="1" applyFont="1" applyFill="1" applyBorder="1" applyAlignment="1" applyProtection="1">
      <alignment horizontal="left" vertical="top" wrapText="1"/>
      <protection hidden="1"/>
    </xf>
    <xf numFmtId="169" fontId="0" fillId="4" borderId="15" xfId="52" applyNumberFormat="1" applyFont="1" applyFill="1" applyBorder="1" applyAlignment="1" applyProtection="1">
      <alignment horizontal="left" vertical="top" wrapText="1"/>
      <protection hidden="1"/>
    </xf>
    <xf numFmtId="169" fontId="0" fillId="4" borderId="18" xfId="52" applyNumberFormat="1" applyFont="1" applyFill="1" applyBorder="1" applyAlignment="1" applyProtection="1">
      <alignment horizontal="left" vertical="top" wrapText="1"/>
      <protection hidden="1"/>
    </xf>
    <xf numFmtId="0" fontId="6" fillId="4" borderId="43" xfId="0" applyNumberFormat="1" applyFont="1" applyFill="1" applyBorder="1" applyAlignment="1">
      <alignment horizontal="left" vertical="top" wrapText="1"/>
    </xf>
    <xf numFmtId="0" fontId="5" fillId="10" borderId="43" xfId="0" applyNumberFormat="1" applyFont="1" applyFill="1" applyBorder="1" applyAlignment="1">
      <alignment horizontal="left" vertical="top" wrapText="1"/>
    </xf>
    <xf numFmtId="0" fontId="5" fillId="0" borderId="43" xfId="0" applyNumberFormat="1" applyFont="1" applyFill="1" applyBorder="1" applyAlignment="1">
      <alignment horizontal="left" vertical="top" wrapText="1"/>
    </xf>
    <xf numFmtId="169" fontId="0" fillId="4" borderId="44" xfId="52" applyNumberFormat="1" applyFont="1" applyFill="1" applyBorder="1" applyAlignment="1" applyProtection="1">
      <alignment horizontal="left" vertical="top" wrapText="1"/>
      <protection hidden="1"/>
    </xf>
    <xf numFmtId="169" fontId="0" fillId="4" borderId="45" xfId="52" applyNumberFormat="1" applyFont="1" applyFill="1" applyBorder="1" applyAlignment="1" applyProtection="1">
      <alignment horizontal="left" vertical="top" wrapText="1"/>
      <protection hidden="1"/>
    </xf>
    <xf numFmtId="169" fontId="0" fillId="4" borderId="46" xfId="52" applyNumberFormat="1" applyFont="1" applyFill="1" applyBorder="1" applyAlignment="1" applyProtection="1">
      <alignment horizontal="left" vertical="top" wrapText="1"/>
      <protection hidden="1"/>
    </xf>
    <xf numFmtId="0" fontId="6" fillId="4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10" borderId="13" xfId="0" applyNumberFormat="1" applyFont="1" applyFill="1" applyBorder="1" applyAlignment="1">
      <alignment horizontal="center" vertical="center" wrapText="1"/>
    </xf>
    <xf numFmtId="0" fontId="6" fillId="4" borderId="14" xfId="0" applyNumberFormat="1" applyFont="1" applyFill="1" applyBorder="1" applyAlignment="1">
      <alignment horizontal="center" vertical="center" wrapText="1"/>
    </xf>
    <xf numFmtId="0" fontId="6" fillId="4" borderId="29" xfId="0" applyNumberFormat="1" applyFont="1" applyFill="1" applyBorder="1" applyAlignment="1">
      <alignment horizontal="center" vertical="center" wrapText="1"/>
    </xf>
    <xf numFmtId="0" fontId="6" fillId="4" borderId="47" xfId="0" applyNumberFormat="1" applyFont="1" applyFill="1" applyBorder="1" applyAlignment="1">
      <alignment horizontal="left" vertical="top" wrapText="1"/>
    </xf>
    <xf numFmtId="0" fontId="6" fillId="4" borderId="12" xfId="0" applyNumberFormat="1" applyFont="1" applyFill="1" applyBorder="1" applyAlignment="1">
      <alignment horizontal="left" vertical="center" wrapText="1"/>
    </xf>
    <xf numFmtId="0" fontId="6" fillId="4" borderId="48" xfId="0" applyNumberFormat="1" applyFont="1" applyFill="1" applyBorder="1" applyAlignment="1">
      <alignment horizontal="center" vertical="center" wrapText="1"/>
    </xf>
    <xf numFmtId="0" fontId="6" fillId="4" borderId="49" xfId="0" applyNumberFormat="1" applyFont="1" applyFill="1" applyBorder="1" applyAlignment="1">
      <alignment horizontal="center" vertical="center" wrapText="1"/>
    </xf>
    <xf numFmtId="0" fontId="6" fillId="4" borderId="0" xfId="0" applyNumberFormat="1" applyFont="1" applyFill="1" applyBorder="1" applyAlignment="1">
      <alignment horizontal="center" vertical="center" wrapText="1"/>
    </xf>
    <xf numFmtId="0" fontId="6" fillId="4" borderId="31" xfId="0" applyNumberFormat="1" applyFont="1" applyFill="1" applyBorder="1" applyAlignment="1">
      <alignment horizontal="center" vertical="center" wrapText="1"/>
    </xf>
    <xf numFmtId="164" fontId="5" fillId="18" borderId="18" xfId="0" applyNumberFormat="1" applyFont="1" applyFill="1" applyBorder="1" applyAlignment="1">
      <alignment horizontal="center" vertical="center" wrapText="1"/>
    </xf>
    <xf numFmtId="166" fontId="5" fillId="10" borderId="26" xfId="0" applyNumberFormat="1" applyFont="1" applyFill="1" applyBorder="1" applyAlignment="1">
      <alignment horizontal="center" vertical="center" wrapText="1"/>
    </xf>
    <xf numFmtId="166" fontId="5" fillId="10" borderId="15" xfId="0" applyNumberFormat="1" applyFont="1" applyFill="1" applyBorder="1" applyAlignment="1">
      <alignment horizontal="center" vertical="center" wrapText="1"/>
    </xf>
    <xf numFmtId="166" fontId="5" fillId="10" borderId="18" xfId="0" applyNumberFormat="1" applyFont="1" applyFill="1" applyBorder="1" applyAlignment="1">
      <alignment horizontal="center" vertical="center" wrapText="1"/>
    </xf>
    <xf numFmtId="2" fontId="5" fillId="18" borderId="16" xfId="0" applyNumberFormat="1" applyFont="1" applyFill="1" applyBorder="1" applyAlignment="1">
      <alignment horizontal="center" vertical="center" wrapText="1"/>
    </xf>
    <xf numFmtId="2" fontId="5" fillId="18" borderId="15" xfId="0" applyNumberFormat="1" applyFont="1" applyFill="1" applyBorder="1" applyAlignment="1">
      <alignment horizontal="center" vertical="center" wrapText="1"/>
    </xf>
    <xf numFmtId="166" fontId="6" fillId="4" borderId="26" xfId="0" applyNumberFormat="1" applyFont="1" applyFill="1" applyBorder="1" applyAlignment="1">
      <alignment horizontal="center" vertical="center" wrapText="1"/>
    </xf>
    <xf numFmtId="166" fontId="6" fillId="4" borderId="15" xfId="0" applyNumberFormat="1" applyFont="1" applyFill="1" applyBorder="1" applyAlignment="1">
      <alignment horizontal="center" vertical="center" wrapText="1"/>
    </xf>
    <xf numFmtId="166" fontId="6" fillId="4" borderId="18" xfId="0" applyNumberFormat="1" applyFont="1" applyFill="1" applyBorder="1" applyAlignment="1">
      <alignment horizontal="center" vertical="center" wrapText="1"/>
    </xf>
    <xf numFmtId="166" fontId="6" fillId="4" borderId="22" xfId="0" applyNumberFormat="1" applyFont="1" applyFill="1" applyBorder="1" applyAlignment="1">
      <alignment horizontal="center" vertical="center" wrapText="1"/>
    </xf>
    <xf numFmtId="166" fontId="6" fillId="4" borderId="16" xfId="0" applyNumberFormat="1" applyFont="1" applyFill="1" applyBorder="1" applyAlignment="1">
      <alignment horizontal="center" vertical="center" wrapText="1"/>
    </xf>
    <xf numFmtId="0" fontId="6" fillId="4" borderId="16" xfId="0" applyNumberFormat="1" applyFont="1" applyFill="1" applyBorder="1" applyAlignment="1">
      <alignment horizontal="center" vertical="center" wrapText="1"/>
    </xf>
    <xf numFmtId="0" fontId="8" fillId="0" borderId="39" xfId="0" applyNumberFormat="1" applyFont="1" applyBorder="1" applyAlignment="1">
      <alignment horizontal="center"/>
    </xf>
    <xf numFmtId="0" fontId="8" fillId="0" borderId="38" xfId="0" applyNumberFormat="1" applyFont="1" applyBorder="1" applyAlignment="1">
      <alignment horizontal="center"/>
    </xf>
    <xf numFmtId="0" fontId="8" fillId="0" borderId="49" xfId="0" applyNumberFormat="1" applyFont="1" applyBorder="1" applyAlignment="1">
      <alignment horizontal="center"/>
    </xf>
    <xf numFmtId="0" fontId="8" fillId="0" borderId="39" xfId="0" applyNumberFormat="1" applyFont="1" applyBorder="1" applyAlignment="1">
      <alignment horizontal="center" vertical="center"/>
    </xf>
    <xf numFmtId="0" fontId="8" fillId="0" borderId="49" xfId="0" applyNumberFormat="1" applyFont="1" applyBorder="1" applyAlignment="1">
      <alignment horizontal="center" vertical="center"/>
    </xf>
    <xf numFmtId="2" fontId="6" fillId="4" borderId="25" xfId="0" applyNumberFormat="1" applyFont="1" applyFill="1" applyBorder="1" applyAlignment="1">
      <alignment horizontal="center" vertical="center" wrapText="1"/>
    </xf>
    <xf numFmtId="2" fontId="6" fillId="4" borderId="20" xfId="0" applyNumberFormat="1" applyFont="1" applyFill="1" applyBorder="1" applyAlignment="1">
      <alignment horizontal="center" vertical="center" wrapText="1"/>
    </xf>
    <xf numFmtId="0" fontId="6" fillId="4" borderId="19" xfId="0" applyNumberFormat="1" applyFont="1" applyFill="1" applyBorder="1" applyAlignment="1">
      <alignment horizontal="center" vertical="center" wrapText="1"/>
    </xf>
    <xf numFmtId="0" fontId="6" fillId="4" borderId="20" xfId="0" applyNumberFormat="1" applyFont="1" applyFill="1" applyBorder="1" applyAlignment="1">
      <alignment horizontal="center" vertical="center" wrapText="1"/>
    </xf>
    <xf numFmtId="0" fontId="6" fillId="4" borderId="17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10" borderId="30" xfId="0" applyNumberFormat="1" applyFont="1" applyFill="1" applyBorder="1" applyAlignment="1">
      <alignment horizontal="center" vertical="center" wrapText="1"/>
    </xf>
    <xf numFmtId="2" fontId="5" fillId="10" borderId="23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center" wrapText="1"/>
    </xf>
    <xf numFmtId="2" fontId="5" fillId="0" borderId="28" xfId="0" applyNumberFormat="1" applyFont="1" applyFill="1" applyBorder="1" applyAlignment="1">
      <alignment horizontal="center" vertical="center" wrapText="1"/>
    </xf>
    <xf numFmtId="2" fontId="5" fillId="0" borderId="29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4" borderId="10" xfId="0" applyNumberFormat="1" applyFont="1" applyFill="1" applyBorder="1" applyAlignment="1">
      <alignment horizontal="center" vertical="center" wrapText="1"/>
    </xf>
    <xf numFmtId="2" fontId="5" fillId="10" borderId="50" xfId="0" applyNumberFormat="1" applyFont="1" applyFill="1" applyBorder="1" applyAlignment="1">
      <alignment horizontal="center" vertical="center" wrapText="1"/>
    </xf>
    <xf numFmtId="2" fontId="5" fillId="0" borderId="50" xfId="0" applyNumberFormat="1" applyFont="1" applyFill="1" applyBorder="1" applyAlignment="1">
      <alignment horizontal="center" vertical="center" wrapText="1"/>
    </xf>
    <xf numFmtId="0" fontId="6" fillId="18" borderId="10" xfId="0" applyNumberFormat="1" applyFont="1" applyFill="1" applyBorder="1" applyAlignment="1">
      <alignment horizontal="center" vertical="top" wrapText="1"/>
    </xf>
    <xf numFmtId="164" fontId="5" fillId="18" borderId="26" xfId="0" applyNumberFormat="1" applyFont="1" applyFill="1" applyBorder="1" applyAlignment="1">
      <alignment horizontal="center" vertical="center" wrapText="1"/>
    </xf>
    <xf numFmtId="164" fontId="5" fillId="18" borderId="50" xfId="0" applyNumberFormat="1" applyFont="1" applyFill="1" applyBorder="1" applyAlignment="1">
      <alignment horizontal="center" vertical="center" wrapText="1"/>
    </xf>
    <xf numFmtId="164" fontId="5" fillId="18" borderId="12" xfId="0" applyNumberFormat="1" applyFont="1" applyFill="1" applyBorder="1" applyAlignment="1">
      <alignment horizontal="center" vertical="center" wrapText="1"/>
    </xf>
    <xf numFmtId="2" fontId="6" fillId="4" borderId="50" xfId="0" applyNumberFormat="1" applyFont="1" applyFill="1" applyBorder="1" applyAlignment="1">
      <alignment horizontal="center" vertical="center" wrapText="1"/>
    </xf>
    <xf numFmtId="0" fontId="6" fillId="4" borderId="44" xfId="0" applyNumberFormat="1" applyFont="1" applyFill="1" applyBorder="1" applyAlignment="1">
      <alignment horizontal="center" vertical="center" wrapText="1"/>
    </xf>
    <xf numFmtId="0" fontId="6" fillId="4" borderId="45" xfId="0" applyNumberFormat="1" applyFont="1" applyFill="1" applyBorder="1" applyAlignment="1">
      <alignment horizontal="center" vertical="center" wrapText="1"/>
    </xf>
    <xf numFmtId="0" fontId="6" fillId="4" borderId="51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4" borderId="30" xfId="0" applyNumberFormat="1" applyFont="1" applyFill="1" applyBorder="1" applyAlignment="1">
      <alignment horizontal="center" vertical="center" wrapText="1"/>
    </xf>
    <xf numFmtId="2" fontId="6" fillId="4" borderId="23" xfId="0" applyNumberFormat="1" applyFont="1" applyFill="1" applyBorder="1" applyAlignment="1">
      <alignment horizontal="center" vertical="center" wrapText="1"/>
    </xf>
    <xf numFmtId="2" fontId="6" fillId="4" borderId="17" xfId="0" applyNumberFormat="1" applyFont="1" applyFill="1" applyBorder="1" applyAlignment="1">
      <alignment horizontal="center" vertical="center" wrapText="1"/>
    </xf>
    <xf numFmtId="166" fontId="5" fillId="0" borderId="22" xfId="0" applyNumberFormat="1" applyFont="1" applyFill="1" applyBorder="1" applyAlignment="1">
      <alignment horizontal="center" vertical="center" wrapText="1"/>
    </xf>
    <xf numFmtId="166" fontId="5" fillId="0" borderId="16" xfId="0" applyNumberFormat="1" applyFont="1" applyFill="1" applyBorder="1" applyAlignment="1">
      <alignment horizontal="center" vertical="center" wrapText="1"/>
    </xf>
    <xf numFmtId="166" fontId="5" fillId="0" borderId="26" xfId="0" applyNumberFormat="1" applyFont="1" applyFill="1" applyBorder="1" applyAlignment="1">
      <alignment horizontal="center" vertical="center" wrapText="1"/>
    </xf>
    <xf numFmtId="166" fontId="5" fillId="0" borderId="15" xfId="0" applyNumberFormat="1" applyFont="1" applyFill="1" applyBorder="1" applyAlignment="1">
      <alignment horizontal="center" vertical="center" wrapText="1"/>
    </xf>
    <xf numFmtId="166" fontId="5" fillId="0" borderId="18" xfId="0" applyNumberFormat="1" applyFont="1" applyFill="1" applyBorder="1" applyAlignment="1">
      <alignment horizontal="center" vertical="center" wrapText="1"/>
    </xf>
    <xf numFmtId="2" fontId="5" fillId="18" borderId="18" xfId="0" applyNumberFormat="1" applyFont="1" applyFill="1" applyBorder="1" applyAlignment="1">
      <alignment horizontal="center" vertical="center" wrapText="1"/>
    </xf>
    <xf numFmtId="164" fontId="5" fillId="4" borderId="52" xfId="0" applyNumberFormat="1" applyFont="1" applyFill="1" applyBorder="1" applyAlignment="1">
      <alignment horizontal="center" vertical="center" wrapText="1"/>
    </xf>
    <xf numFmtId="164" fontId="5" fillId="4" borderId="53" xfId="0" applyNumberFormat="1" applyFont="1" applyFill="1" applyBorder="1" applyAlignment="1">
      <alignment horizontal="center" vertical="center" wrapText="1"/>
    </xf>
    <xf numFmtId="164" fontId="5" fillId="4" borderId="54" xfId="0" applyNumberFormat="1" applyFont="1" applyFill="1" applyBorder="1" applyAlignment="1">
      <alignment horizontal="center" vertical="center" wrapText="1"/>
    </xf>
    <xf numFmtId="164" fontId="5" fillId="4" borderId="55" xfId="0" applyNumberFormat="1" applyFont="1" applyFill="1" applyBorder="1" applyAlignment="1">
      <alignment horizontal="center" vertical="center" wrapText="1"/>
    </xf>
    <xf numFmtId="2" fontId="6" fillId="4" borderId="56" xfId="0" applyNumberFormat="1" applyFont="1" applyFill="1" applyBorder="1" applyAlignment="1">
      <alignment horizontal="center" vertical="center" wrapText="1"/>
    </xf>
    <xf numFmtId="2" fontId="6" fillId="4" borderId="57" xfId="0" applyNumberFormat="1" applyFont="1" applyFill="1" applyBorder="1" applyAlignment="1">
      <alignment horizontal="center" vertical="center" wrapText="1"/>
    </xf>
    <xf numFmtId="0" fontId="26" fillId="0" borderId="0" xfId="52" applyNumberFormat="1" applyFont="1" applyFill="1" applyAlignment="1" applyProtection="1">
      <alignment horizontal="center" vertical="center" wrapText="1"/>
      <protection hidden="1"/>
    </xf>
    <xf numFmtId="0" fontId="6" fillId="4" borderId="21" xfId="0" applyNumberFormat="1" applyFont="1" applyFill="1" applyBorder="1" applyAlignment="1">
      <alignment horizontal="left" vertical="center" wrapText="1"/>
    </xf>
    <xf numFmtId="0" fontId="6" fillId="0" borderId="16" xfId="0" applyNumberFormat="1" applyFont="1" applyFill="1" applyBorder="1" applyAlignment="1">
      <alignment horizontal="left" vertical="center" wrapText="1"/>
    </xf>
    <xf numFmtId="0" fontId="6" fillId="0" borderId="15" xfId="0" applyNumberFormat="1" applyFont="1" applyFill="1" applyBorder="1" applyAlignment="1">
      <alignment horizontal="left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4" borderId="18" xfId="0" applyNumberFormat="1" applyFont="1" applyFill="1" applyBorder="1" applyAlignment="1">
      <alignment horizontal="center" vertical="center" wrapText="1"/>
    </xf>
    <xf numFmtId="169" fontId="0" fillId="4" borderId="40" xfId="52" applyNumberFormat="1" applyFont="1" applyFill="1" applyBorder="1" applyAlignment="1" applyProtection="1">
      <alignment horizontal="left" vertical="top" wrapText="1"/>
      <protection hidden="1"/>
    </xf>
    <xf numFmtId="169" fontId="0" fillId="4" borderId="58" xfId="52" applyNumberFormat="1" applyFont="1" applyFill="1" applyBorder="1" applyAlignment="1" applyProtection="1">
      <alignment horizontal="left" vertical="top" wrapText="1"/>
      <protection hidden="1"/>
    </xf>
    <xf numFmtId="169" fontId="0" fillId="4" borderId="59" xfId="52" applyNumberFormat="1" applyFont="1" applyFill="1" applyBorder="1" applyAlignment="1" applyProtection="1">
      <alignment horizontal="left" vertical="top" wrapText="1"/>
      <protection hidden="1"/>
    </xf>
    <xf numFmtId="2" fontId="6" fillId="4" borderId="60" xfId="0" applyNumberFormat="1" applyFont="1" applyFill="1" applyBorder="1" applyAlignment="1">
      <alignment horizontal="center" vertical="center" wrapText="1"/>
    </xf>
    <xf numFmtId="0" fontId="8" fillId="0" borderId="61" xfId="0" applyFont="1" applyBorder="1" applyAlignment="1">
      <alignment horizontal="left" wrapText="1"/>
    </xf>
    <xf numFmtId="0" fontId="8" fillId="0" borderId="23" xfId="0" applyFont="1" applyBorder="1" applyAlignment="1">
      <alignment horizontal="left" wrapText="1"/>
    </xf>
    <xf numFmtId="49" fontId="5" fillId="4" borderId="11" xfId="0" applyNumberFormat="1" applyFont="1" applyFill="1" applyBorder="1" applyAlignment="1">
      <alignment horizontal="center" vertical="center" wrapText="1"/>
    </xf>
    <xf numFmtId="49" fontId="5" fillId="4" borderId="62" xfId="0" applyNumberFormat="1" applyFont="1" applyFill="1" applyBorder="1" applyAlignment="1">
      <alignment horizontal="center" vertical="center" wrapText="1"/>
    </xf>
    <xf numFmtId="49" fontId="5" fillId="4" borderId="63" xfId="0" applyNumberFormat="1" applyFont="1" applyFill="1" applyBorder="1" applyAlignment="1">
      <alignment horizontal="center" vertical="center" wrapText="1"/>
    </xf>
    <xf numFmtId="2" fontId="5" fillId="4" borderId="31" xfId="0" applyNumberFormat="1" applyFont="1" applyFill="1" applyBorder="1" applyAlignment="1">
      <alignment horizontal="center" vertical="center" wrapText="1"/>
    </xf>
    <xf numFmtId="2" fontId="5" fillId="4" borderId="30" xfId="0" applyNumberFormat="1" applyFont="1" applyFill="1" applyBorder="1" applyAlignment="1">
      <alignment horizontal="center" vertical="center" wrapText="1"/>
    </xf>
    <xf numFmtId="2" fontId="5" fillId="4" borderId="23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0" borderId="23" xfId="0" applyNumberFormat="1" applyFont="1" applyFill="1" applyBorder="1" applyAlignment="1">
      <alignment horizontal="center" vertical="center" wrapText="1"/>
    </xf>
    <xf numFmtId="2" fontId="5" fillId="4" borderId="1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/>
    </xf>
    <xf numFmtId="169" fontId="0" fillId="4" borderId="39" xfId="52" applyNumberFormat="1" applyFont="1" applyFill="1" applyBorder="1" applyAlignment="1" applyProtection="1">
      <alignment horizontal="left" vertical="top" wrapText="1"/>
      <protection hidden="1"/>
    </xf>
    <xf numFmtId="169" fontId="0" fillId="4" borderId="38" xfId="52" applyNumberFormat="1" applyFont="1" applyFill="1" applyBorder="1" applyAlignment="1" applyProtection="1">
      <alignment horizontal="left" vertical="top" wrapText="1"/>
      <protection hidden="1"/>
    </xf>
    <xf numFmtId="169" fontId="0" fillId="4" borderId="49" xfId="52" applyNumberFormat="1" applyFont="1" applyFill="1" applyBorder="1" applyAlignment="1" applyProtection="1">
      <alignment horizontal="left" vertical="top" wrapText="1"/>
      <protection hidden="1"/>
    </xf>
    <xf numFmtId="169" fontId="0" fillId="4" borderId="42" xfId="52" applyNumberFormat="1" applyFont="1" applyFill="1" applyBorder="1" applyAlignment="1" applyProtection="1">
      <alignment horizontal="left" vertical="top" wrapText="1"/>
      <protection hidden="1"/>
    </xf>
    <xf numFmtId="169" fontId="0" fillId="4" borderId="15" xfId="52" applyNumberFormat="1" applyFont="1" applyFill="1" applyBorder="1" applyAlignment="1" applyProtection="1">
      <alignment horizontal="left" vertical="top" wrapText="1"/>
      <protection hidden="1"/>
    </xf>
    <xf numFmtId="169" fontId="0" fillId="4" borderId="50" xfId="52" applyNumberFormat="1" applyFont="1" applyFill="1" applyBorder="1" applyAlignment="1" applyProtection="1">
      <alignment horizontal="left" vertical="top" wrapText="1"/>
      <protection hidden="1"/>
    </xf>
    <xf numFmtId="49" fontId="6" fillId="4" borderId="20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6" xfId="0" applyNumberFormat="1" applyFont="1" applyFill="1" applyBorder="1" applyAlignment="1">
      <alignment horizontal="center" vertical="center" wrapText="1"/>
    </xf>
    <xf numFmtId="49" fontId="6" fillId="4" borderId="18" xfId="0" applyNumberFormat="1" applyFont="1" applyFill="1" applyBorder="1" applyAlignment="1">
      <alignment horizontal="center" vertical="center" wrapText="1"/>
    </xf>
    <xf numFmtId="169" fontId="0" fillId="4" borderId="18" xfId="52" applyNumberFormat="1" applyFont="1" applyFill="1" applyBorder="1" applyAlignment="1" applyProtection="1">
      <alignment horizontal="left" vertical="top" wrapText="1"/>
      <protection hidden="1"/>
    </xf>
    <xf numFmtId="164" fontId="8" fillId="0" borderId="12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8"/>
  <sheetViews>
    <sheetView tabSelected="1" zoomScalePageLayoutView="0" workbookViewId="0" topLeftCell="A3">
      <selection activeCell="L242" sqref="L242"/>
    </sheetView>
  </sheetViews>
  <sheetFormatPr defaultColWidth="9.140625" defaultRowHeight="12.75"/>
  <cols>
    <col min="1" max="1" width="9.140625" style="8" customWidth="1"/>
    <col min="2" max="2" width="16.140625" style="8" customWidth="1"/>
    <col min="3" max="3" width="25.140625" style="8" customWidth="1"/>
    <col min="4" max="4" width="13.00390625" style="1" customWidth="1"/>
    <col min="5" max="5" width="5.7109375" style="1" customWidth="1"/>
    <col min="6" max="6" width="9.140625" style="1" customWidth="1"/>
    <col min="7" max="8" width="13.421875" style="1" customWidth="1"/>
    <col min="9" max="9" width="6.00390625" style="1" hidden="1" customWidth="1"/>
    <col min="10" max="10" width="7.57421875" style="1" hidden="1" customWidth="1"/>
    <col min="11" max="11" width="12.7109375" style="1" hidden="1" customWidth="1"/>
    <col min="12" max="12" width="12.8515625" style="1" customWidth="1"/>
    <col min="13" max="13" width="3.421875" style="1" hidden="1" customWidth="1"/>
    <col min="14" max="14" width="13.8515625" style="1" hidden="1" customWidth="1"/>
    <col min="15" max="15" width="13.28125" style="8" customWidth="1"/>
    <col min="16" max="16384" width="9.140625" style="8" customWidth="1"/>
  </cols>
  <sheetData>
    <row r="1" spans="4:16" ht="12.75"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4:17" s="1" customFormat="1" ht="16.5" customHeight="1"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2"/>
    </row>
    <row r="3" spans="4:17" s="1" customFormat="1" ht="15.75" customHeight="1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3"/>
    </row>
    <row r="4" spans="2:17" s="1" customFormat="1" ht="15" customHeight="1">
      <c r="B4" s="257" t="s">
        <v>179</v>
      </c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10"/>
      <c r="Q4" s="2"/>
    </row>
    <row r="5" spans="2:17" s="1" customFormat="1" ht="15" customHeight="1"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10"/>
      <c r="Q5" s="2"/>
    </row>
    <row r="6" spans="2:17" s="1" customFormat="1" ht="15" customHeight="1"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10"/>
      <c r="Q6" s="2"/>
    </row>
    <row r="7" spans="2:17" s="1" customFormat="1" ht="14.25" customHeight="1"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10"/>
      <c r="Q7" s="2"/>
    </row>
    <row r="8" spans="2:17" s="1" customFormat="1" ht="12.75" customHeight="1"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10"/>
      <c r="Q8" s="2"/>
    </row>
    <row r="9" spans="2:17" s="1" customFormat="1" ht="15" customHeight="1"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10"/>
      <c r="Q9" s="2"/>
    </row>
    <row r="10" spans="4:17" s="1" customFormat="1" ht="15" customHeight="1"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2"/>
    </row>
    <row r="11" spans="1:14" s="1" customFormat="1" ht="13.5" customHeight="1">
      <c r="A11" s="4"/>
      <c r="B11" s="4"/>
      <c r="C11" s="4"/>
      <c r="D11" s="5"/>
      <c r="E11" s="5"/>
      <c r="F11" s="5"/>
      <c r="G11" s="5"/>
      <c r="H11" s="5"/>
      <c r="I11" s="5"/>
      <c r="J11" s="5"/>
      <c r="K11" s="5"/>
      <c r="L11" s="5" t="s">
        <v>146</v>
      </c>
      <c r="M11" s="5"/>
      <c r="N11" s="5"/>
    </row>
    <row r="12" spans="1:15" s="1" customFormat="1" ht="13.5" customHeight="1">
      <c r="A12" s="157" t="s">
        <v>1</v>
      </c>
      <c r="B12" s="157"/>
      <c r="C12" s="157"/>
      <c r="D12" s="157" t="s">
        <v>125</v>
      </c>
      <c r="E12" s="157" t="s">
        <v>126</v>
      </c>
      <c r="F12" s="157"/>
      <c r="G12" s="157" t="s">
        <v>127</v>
      </c>
      <c r="H12" s="30"/>
      <c r="I12" s="157" t="s">
        <v>122</v>
      </c>
      <c r="J12" s="157"/>
      <c r="K12" s="157"/>
      <c r="L12" s="157"/>
      <c r="M12" s="157"/>
      <c r="N12" s="157"/>
      <c r="O12" s="157"/>
    </row>
    <row r="13" spans="1:15" s="1" customFormat="1" ht="24.75" customHeight="1">
      <c r="A13" s="157"/>
      <c r="B13" s="157"/>
      <c r="C13" s="157"/>
      <c r="D13" s="157"/>
      <c r="E13" s="157"/>
      <c r="F13" s="157"/>
      <c r="G13" s="157"/>
      <c r="H13" s="30" t="s">
        <v>152</v>
      </c>
      <c r="I13" s="238" t="s">
        <v>123</v>
      </c>
      <c r="J13" s="239"/>
      <c r="K13" s="240"/>
      <c r="L13" s="30" t="s">
        <v>123</v>
      </c>
      <c r="M13" s="157" t="s">
        <v>124</v>
      </c>
      <c r="N13" s="157"/>
      <c r="O13" s="11" t="s">
        <v>124</v>
      </c>
    </row>
    <row r="14" spans="1:15" s="1" customFormat="1" ht="40.5" customHeight="1">
      <c r="A14" s="152" t="s">
        <v>147</v>
      </c>
      <c r="B14" s="152"/>
      <c r="C14" s="152"/>
      <c r="D14" s="6" t="s">
        <v>0</v>
      </c>
      <c r="E14" s="233" t="s">
        <v>0</v>
      </c>
      <c r="F14" s="233"/>
      <c r="G14" s="6" t="s">
        <v>0</v>
      </c>
      <c r="H14" s="101">
        <f>H15+H67+H76+H110+H161+H170</f>
        <v>112590.3</v>
      </c>
      <c r="I14" s="234">
        <f>I16+I19+I32+I45+I68+I72+I77+I111+I129+I137+I162+I166+I171</f>
        <v>70312200</v>
      </c>
      <c r="J14" s="145"/>
      <c r="K14" s="235"/>
      <c r="L14" s="31">
        <f aca="true" t="shared" si="0" ref="L14:L34">I14/1000</f>
        <v>70312.2</v>
      </c>
      <c r="M14" s="236">
        <f>M16+M19+M32+M35+M45+M68+M72+M77+M111+M129+M137+M162+M166+M171</f>
        <v>72042800</v>
      </c>
      <c r="N14" s="236"/>
      <c r="O14" s="12">
        <f aca="true" t="shared" si="1" ref="O14:O21">M14/1000</f>
        <v>72042.8</v>
      </c>
    </row>
    <row r="15" spans="1:15" s="7" customFormat="1" ht="27.75" customHeight="1">
      <c r="A15" s="182" t="s">
        <v>128</v>
      </c>
      <c r="B15" s="182"/>
      <c r="C15" s="182"/>
      <c r="D15" s="25" t="s">
        <v>129</v>
      </c>
      <c r="E15" s="189"/>
      <c r="F15" s="189"/>
      <c r="G15" s="25"/>
      <c r="H15" s="63">
        <f>H16+H19+H32+H35+H42+H45</f>
        <v>15513.5</v>
      </c>
      <c r="I15" s="163">
        <f>I16+I19+I32+I45</f>
        <v>12842000</v>
      </c>
      <c r="J15" s="164"/>
      <c r="K15" s="231"/>
      <c r="L15" s="79">
        <f t="shared" si="0"/>
        <v>12842</v>
      </c>
      <c r="M15" s="162">
        <f>M16+M19+M32+M35+M45</f>
        <v>13895000</v>
      </c>
      <c r="N15" s="162"/>
      <c r="O15" s="68">
        <f t="shared" si="1"/>
        <v>13895</v>
      </c>
    </row>
    <row r="16" spans="1:15" s="7" customFormat="1" ht="48.75" customHeight="1">
      <c r="A16" s="183" t="s">
        <v>3</v>
      </c>
      <c r="B16" s="183"/>
      <c r="C16" s="183"/>
      <c r="D16" s="19" t="s">
        <v>2</v>
      </c>
      <c r="E16" s="188"/>
      <c r="F16" s="188"/>
      <c r="G16" s="15"/>
      <c r="H16" s="66">
        <f>H17</f>
        <v>1328.7</v>
      </c>
      <c r="I16" s="141">
        <f>1305000</f>
        <v>1305000</v>
      </c>
      <c r="J16" s="142"/>
      <c r="K16" s="232"/>
      <c r="L16" s="80">
        <f t="shared" si="0"/>
        <v>1305</v>
      </c>
      <c r="M16" s="220">
        <f>M17</f>
        <v>1435000</v>
      </c>
      <c r="N16" s="220"/>
      <c r="O16" s="54">
        <f t="shared" si="1"/>
        <v>1435</v>
      </c>
    </row>
    <row r="17" spans="1:15" s="1" customFormat="1" ht="24" customHeight="1">
      <c r="A17" s="181" t="s">
        <v>5</v>
      </c>
      <c r="B17" s="181"/>
      <c r="C17" s="181"/>
      <c r="D17" s="17" t="s">
        <v>2</v>
      </c>
      <c r="E17" s="187" t="s">
        <v>4</v>
      </c>
      <c r="F17" s="187"/>
      <c r="G17" s="18"/>
      <c r="H17" s="37">
        <f>H18</f>
        <v>1328.7</v>
      </c>
      <c r="I17" s="153">
        <f>1305000</f>
        <v>1305000</v>
      </c>
      <c r="J17" s="132"/>
      <c r="K17" s="237"/>
      <c r="L17" s="58">
        <f t="shared" si="0"/>
        <v>1305</v>
      </c>
      <c r="M17" s="134">
        <f>1435000</f>
        <v>1435000</v>
      </c>
      <c r="N17" s="134"/>
      <c r="O17" s="57">
        <f t="shared" si="1"/>
        <v>1435</v>
      </c>
    </row>
    <row r="18" spans="1:15" s="1" customFormat="1" ht="32.25" customHeight="1">
      <c r="A18" s="181" t="s">
        <v>168</v>
      </c>
      <c r="B18" s="181"/>
      <c r="C18" s="181"/>
      <c r="D18" s="17" t="s">
        <v>2</v>
      </c>
      <c r="E18" s="187" t="s">
        <v>4</v>
      </c>
      <c r="F18" s="187"/>
      <c r="G18" s="17">
        <v>121</v>
      </c>
      <c r="H18" s="37">
        <v>1328.7</v>
      </c>
      <c r="I18" s="153">
        <f>1305000</f>
        <v>1305000</v>
      </c>
      <c r="J18" s="132"/>
      <c r="K18" s="237"/>
      <c r="L18" s="58">
        <f t="shared" si="0"/>
        <v>1305</v>
      </c>
      <c r="M18" s="134">
        <f>1435000</f>
        <v>1435000</v>
      </c>
      <c r="N18" s="134"/>
      <c r="O18" s="57">
        <f t="shared" si="1"/>
        <v>1435</v>
      </c>
    </row>
    <row r="19" spans="1:15" s="1" customFormat="1" ht="59.25" customHeight="1">
      <c r="A19" s="183" t="s">
        <v>8</v>
      </c>
      <c r="B19" s="183"/>
      <c r="C19" s="183"/>
      <c r="D19" s="19" t="s">
        <v>7</v>
      </c>
      <c r="E19" s="188"/>
      <c r="F19" s="188"/>
      <c r="G19" s="15"/>
      <c r="H19" s="51">
        <f>H20+H29</f>
        <v>9050.3</v>
      </c>
      <c r="I19" s="141">
        <f>I20+I29</f>
        <v>10057000</v>
      </c>
      <c r="J19" s="142"/>
      <c r="K19" s="232"/>
      <c r="L19" s="80">
        <f t="shared" si="0"/>
        <v>10057</v>
      </c>
      <c r="M19" s="220">
        <f>M20+M29</f>
        <v>10302000</v>
      </c>
      <c r="N19" s="220"/>
      <c r="O19" s="54">
        <f t="shared" si="1"/>
        <v>10302</v>
      </c>
    </row>
    <row r="20" spans="1:15" s="1" customFormat="1" ht="23.25" customHeight="1">
      <c r="A20" s="181" t="s">
        <v>10</v>
      </c>
      <c r="B20" s="181"/>
      <c r="C20" s="181"/>
      <c r="D20" s="17" t="s">
        <v>7</v>
      </c>
      <c r="E20" s="187" t="s">
        <v>9</v>
      </c>
      <c r="F20" s="187"/>
      <c r="G20" s="18"/>
      <c r="H20" s="37">
        <f>H22+H23+H25+H26+H28</f>
        <v>9048.3</v>
      </c>
      <c r="I20" s="153">
        <f>I21+I24+I27</f>
        <v>10055000</v>
      </c>
      <c r="J20" s="132"/>
      <c r="K20" s="133"/>
      <c r="L20" s="62">
        <f t="shared" si="0"/>
        <v>10055</v>
      </c>
      <c r="M20" s="215">
        <f>M21+M24+M27</f>
        <v>10300000</v>
      </c>
      <c r="N20" s="216"/>
      <c r="O20" s="57">
        <f t="shared" si="1"/>
        <v>10300</v>
      </c>
    </row>
    <row r="21" spans="1:15" s="1" customFormat="1" ht="35.25" customHeight="1">
      <c r="A21" s="181" t="s">
        <v>6</v>
      </c>
      <c r="B21" s="181"/>
      <c r="C21" s="181"/>
      <c r="D21" s="17" t="s">
        <v>7</v>
      </c>
      <c r="E21" s="187" t="s">
        <v>9</v>
      </c>
      <c r="F21" s="187"/>
      <c r="G21" s="17">
        <v>120</v>
      </c>
      <c r="H21" s="37">
        <f>H22+H23</f>
        <v>7994.599999999999</v>
      </c>
      <c r="I21" s="153">
        <f>9041400</f>
        <v>9041400</v>
      </c>
      <c r="J21" s="132"/>
      <c r="K21" s="133"/>
      <c r="L21" s="55">
        <f t="shared" si="0"/>
        <v>9041.4</v>
      </c>
      <c r="M21" s="137">
        <f>9403000</f>
        <v>9403000</v>
      </c>
      <c r="N21" s="138"/>
      <c r="O21" s="57">
        <f t="shared" si="1"/>
        <v>9403</v>
      </c>
    </row>
    <row r="22" spans="1:15" s="1" customFormat="1" ht="35.25" customHeight="1">
      <c r="A22" s="181" t="s">
        <v>168</v>
      </c>
      <c r="B22" s="181"/>
      <c r="C22" s="181"/>
      <c r="D22" s="17" t="s">
        <v>7</v>
      </c>
      <c r="E22" s="187" t="s">
        <v>9</v>
      </c>
      <c r="F22" s="187"/>
      <c r="G22" s="17">
        <v>121</v>
      </c>
      <c r="H22" s="37">
        <v>7886.9</v>
      </c>
      <c r="I22" s="83"/>
      <c r="J22" s="84"/>
      <c r="K22" s="37"/>
      <c r="L22" s="55">
        <v>8933.7</v>
      </c>
      <c r="M22" s="56"/>
      <c r="N22" s="47"/>
      <c r="O22" s="57">
        <v>9309.2</v>
      </c>
    </row>
    <row r="23" spans="1:15" s="1" customFormat="1" ht="35.25" customHeight="1">
      <c r="A23" s="181" t="s">
        <v>169</v>
      </c>
      <c r="B23" s="181"/>
      <c r="C23" s="181"/>
      <c r="D23" s="17" t="s">
        <v>7</v>
      </c>
      <c r="E23" s="187" t="s">
        <v>9</v>
      </c>
      <c r="F23" s="187"/>
      <c r="G23" s="17">
        <v>122</v>
      </c>
      <c r="H23" s="37">
        <v>107.7</v>
      </c>
      <c r="I23" s="83"/>
      <c r="J23" s="84"/>
      <c r="K23" s="37"/>
      <c r="L23" s="55">
        <v>107.7</v>
      </c>
      <c r="M23" s="56"/>
      <c r="N23" s="47"/>
      <c r="O23" s="57">
        <v>93.8</v>
      </c>
    </row>
    <row r="24" spans="1:15" s="1" customFormat="1" ht="42.75" customHeight="1">
      <c r="A24" s="181" t="s">
        <v>12</v>
      </c>
      <c r="B24" s="181"/>
      <c r="C24" s="181"/>
      <c r="D24" s="17" t="s">
        <v>7</v>
      </c>
      <c r="E24" s="187" t="s">
        <v>9</v>
      </c>
      <c r="F24" s="187"/>
      <c r="G24" s="17" t="s">
        <v>11</v>
      </c>
      <c r="H24" s="37">
        <f>H25+H26</f>
        <v>1050.7</v>
      </c>
      <c r="I24" s="153">
        <v>1009600</v>
      </c>
      <c r="J24" s="132"/>
      <c r="K24" s="133"/>
      <c r="L24" s="55">
        <f t="shared" si="0"/>
        <v>1009.6</v>
      </c>
      <c r="M24" s="137">
        <v>893000</v>
      </c>
      <c r="N24" s="138"/>
      <c r="O24" s="57">
        <f>M24/1000</f>
        <v>893</v>
      </c>
    </row>
    <row r="25" spans="1:15" s="1" customFormat="1" ht="42.75" customHeight="1">
      <c r="A25" s="175" t="s">
        <v>170</v>
      </c>
      <c r="B25" s="176"/>
      <c r="C25" s="177"/>
      <c r="D25" s="17" t="s">
        <v>7</v>
      </c>
      <c r="E25" s="187" t="s">
        <v>9</v>
      </c>
      <c r="F25" s="187"/>
      <c r="G25" s="17">
        <v>242</v>
      </c>
      <c r="H25" s="37">
        <v>472.6</v>
      </c>
      <c r="I25" s="83"/>
      <c r="J25" s="84"/>
      <c r="K25" s="37"/>
      <c r="L25" s="55">
        <v>406.4</v>
      </c>
      <c r="M25" s="56"/>
      <c r="N25" s="47"/>
      <c r="O25" s="57">
        <v>401.3</v>
      </c>
    </row>
    <row r="26" spans="1:15" s="1" customFormat="1" ht="42.75" customHeight="1">
      <c r="A26" s="175" t="s">
        <v>171</v>
      </c>
      <c r="B26" s="176"/>
      <c r="C26" s="177"/>
      <c r="D26" s="17" t="s">
        <v>7</v>
      </c>
      <c r="E26" s="187" t="s">
        <v>9</v>
      </c>
      <c r="F26" s="187"/>
      <c r="G26" s="17">
        <v>244</v>
      </c>
      <c r="H26" s="37">
        <v>578.1</v>
      </c>
      <c r="I26" s="83"/>
      <c r="J26" s="84"/>
      <c r="K26" s="37"/>
      <c r="L26" s="55">
        <f>L24-L25</f>
        <v>603.2</v>
      </c>
      <c r="M26" s="56"/>
      <c r="N26" s="47"/>
      <c r="O26" s="57">
        <f>O24-O25</f>
        <v>491.7</v>
      </c>
    </row>
    <row r="27" spans="1:15" s="1" customFormat="1" ht="27" customHeight="1">
      <c r="A27" s="181" t="s">
        <v>15</v>
      </c>
      <c r="B27" s="181"/>
      <c r="C27" s="181"/>
      <c r="D27" s="17" t="s">
        <v>7</v>
      </c>
      <c r="E27" s="187" t="s">
        <v>9</v>
      </c>
      <c r="F27" s="187"/>
      <c r="G27" s="17" t="s">
        <v>14</v>
      </c>
      <c r="H27" s="37">
        <f>H28</f>
        <v>3</v>
      </c>
      <c r="I27" s="153">
        <f>4000</f>
        <v>4000</v>
      </c>
      <c r="J27" s="132"/>
      <c r="K27" s="133"/>
      <c r="L27" s="55">
        <f t="shared" si="0"/>
        <v>4</v>
      </c>
      <c r="M27" s="137">
        <f>4000</f>
        <v>4000</v>
      </c>
      <c r="N27" s="138"/>
      <c r="O27" s="57">
        <f>M27/1000</f>
        <v>4</v>
      </c>
    </row>
    <row r="28" spans="1:15" s="1" customFormat="1" ht="27" customHeight="1">
      <c r="A28" s="178" t="s">
        <v>172</v>
      </c>
      <c r="B28" s="179"/>
      <c r="C28" s="180"/>
      <c r="D28" s="17" t="s">
        <v>7</v>
      </c>
      <c r="E28" s="187" t="s">
        <v>9</v>
      </c>
      <c r="F28" s="187"/>
      <c r="G28" s="17">
        <v>851</v>
      </c>
      <c r="H28" s="37">
        <v>3</v>
      </c>
      <c r="I28" s="83"/>
      <c r="J28" s="84"/>
      <c r="K28" s="37"/>
      <c r="L28" s="55">
        <v>4</v>
      </c>
      <c r="M28" s="56"/>
      <c r="N28" s="47"/>
      <c r="O28" s="57">
        <v>4</v>
      </c>
    </row>
    <row r="29" spans="1:15" s="1" customFormat="1" ht="58.5" customHeight="1">
      <c r="A29" s="181" t="s">
        <v>17</v>
      </c>
      <c r="B29" s="181"/>
      <c r="C29" s="181"/>
      <c r="D29" s="17" t="s">
        <v>7</v>
      </c>
      <c r="E29" s="187" t="s">
        <v>16</v>
      </c>
      <c r="F29" s="187"/>
      <c r="G29" s="18"/>
      <c r="H29" s="37" t="s">
        <v>153</v>
      </c>
      <c r="I29" s="153">
        <f>2000</f>
        <v>2000</v>
      </c>
      <c r="J29" s="132"/>
      <c r="K29" s="133"/>
      <c r="L29" s="55">
        <f t="shared" si="0"/>
        <v>2</v>
      </c>
      <c r="M29" s="137">
        <f>M30</f>
        <v>2000</v>
      </c>
      <c r="N29" s="138"/>
      <c r="O29" s="57">
        <f>M29/1000</f>
        <v>2</v>
      </c>
    </row>
    <row r="30" spans="1:15" s="1" customFormat="1" ht="47.25" customHeight="1">
      <c r="A30" s="181" t="s">
        <v>12</v>
      </c>
      <c r="B30" s="181"/>
      <c r="C30" s="181"/>
      <c r="D30" s="17" t="s">
        <v>7</v>
      </c>
      <c r="E30" s="187" t="s">
        <v>16</v>
      </c>
      <c r="F30" s="187"/>
      <c r="G30" s="17" t="s">
        <v>11</v>
      </c>
      <c r="H30" s="37">
        <v>2</v>
      </c>
      <c r="I30" s="153">
        <f>2000</f>
        <v>2000</v>
      </c>
      <c r="J30" s="132"/>
      <c r="K30" s="133"/>
      <c r="L30" s="55">
        <f t="shared" si="0"/>
        <v>2</v>
      </c>
      <c r="M30" s="137">
        <f>2000</f>
        <v>2000</v>
      </c>
      <c r="N30" s="138"/>
      <c r="O30" s="57">
        <f>M30/1000</f>
        <v>2</v>
      </c>
    </row>
    <row r="31" spans="1:15" s="1" customFormat="1" ht="47.25" customHeight="1">
      <c r="A31" s="175" t="s">
        <v>171</v>
      </c>
      <c r="B31" s="176"/>
      <c r="C31" s="177"/>
      <c r="D31" s="17" t="s">
        <v>7</v>
      </c>
      <c r="E31" s="187" t="s">
        <v>16</v>
      </c>
      <c r="F31" s="187"/>
      <c r="G31" s="17">
        <v>244</v>
      </c>
      <c r="H31" s="37">
        <v>2</v>
      </c>
      <c r="I31" s="83"/>
      <c r="J31" s="84"/>
      <c r="K31" s="37"/>
      <c r="L31" s="55">
        <v>2</v>
      </c>
      <c r="M31" s="56"/>
      <c r="N31" s="47"/>
      <c r="O31" s="57">
        <v>2</v>
      </c>
    </row>
    <row r="32" spans="1:15" s="1" customFormat="1" ht="55.5" customHeight="1">
      <c r="A32" s="183" t="s">
        <v>19</v>
      </c>
      <c r="B32" s="183"/>
      <c r="C32" s="183"/>
      <c r="D32" s="19" t="s">
        <v>18</v>
      </c>
      <c r="E32" s="188"/>
      <c r="F32" s="188"/>
      <c r="G32" s="15"/>
      <c r="H32" s="66">
        <f>H33</f>
        <v>252.7</v>
      </c>
      <c r="I32" s="141">
        <f>280000</f>
        <v>280000</v>
      </c>
      <c r="J32" s="142"/>
      <c r="K32" s="143"/>
      <c r="L32" s="51">
        <f t="shared" si="0"/>
        <v>280</v>
      </c>
      <c r="M32" s="139">
        <f>M33</f>
        <v>308000</v>
      </c>
      <c r="N32" s="140"/>
      <c r="O32" s="54">
        <f>M32/1000</f>
        <v>308</v>
      </c>
    </row>
    <row r="33" spans="1:15" s="1" customFormat="1" ht="84.75" customHeight="1">
      <c r="A33" s="181" t="s">
        <v>21</v>
      </c>
      <c r="B33" s="181"/>
      <c r="C33" s="181"/>
      <c r="D33" s="17" t="s">
        <v>18</v>
      </c>
      <c r="E33" s="187" t="s">
        <v>20</v>
      </c>
      <c r="F33" s="187"/>
      <c r="G33" s="18"/>
      <c r="H33" s="37">
        <f>H34</f>
        <v>252.7</v>
      </c>
      <c r="I33" s="153">
        <f>280000</f>
        <v>280000</v>
      </c>
      <c r="J33" s="132"/>
      <c r="K33" s="133"/>
      <c r="L33" s="55">
        <f t="shared" si="0"/>
        <v>280</v>
      </c>
      <c r="M33" s="137">
        <f>308000</f>
        <v>308000</v>
      </c>
      <c r="N33" s="138"/>
      <c r="O33" s="57">
        <f>M33/1000</f>
        <v>308</v>
      </c>
    </row>
    <row r="34" spans="1:15" s="1" customFormat="1" ht="26.25" customHeight="1">
      <c r="A34" s="181" t="s">
        <v>23</v>
      </c>
      <c r="B34" s="181"/>
      <c r="C34" s="181"/>
      <c r="D34" s="21" t="s">
        <v>18</v>
      </c>
      <c r="E34" s="187" t="s">
        <v>20</v>
      </c>
      <c r="F34" s="187"/>
      <c r="G34" s="17" t="s">
        <v>22</v>
      </c>
      <c r="H34" s="37">
        <v>252.7</v>
      </c>
      <c r="I34" s="153">
        <f>280000</f>
        <v>280000</v>
      </c>
      <c r="J34" s="132"/>
      <c r="K34" s="133"/>
      <c r="L34" s="55">
        <f t="shared" si="0"/>
        <v>280</v>
      </c>
      <c r="M34" s="137">
        <f>308000</f>
        <v>308000</v>
      </c>
      <c r="N34" s="138"/>
      <c r="O34" s="57">
        <f>M34/1000</f>
        <v>308</v>
      </c>
    </row>
    <row r="35" spans="1:15" s="7" customFormat="1" ht="33.75" customHeight="1">
      <c r="A35" s="183" t="s">
        <v>25</v>
      </c>
      <c r="B35" s="183"/>
      <c r="C35" s="135"/>
      <c r="D35" s="44" t="s">
        <v>24</v>
      </c>
      <c r="E35" s="155"/>
      <c r="F35" s="156"/>
      <c r="G35" s="43"/>
      <c r="H35" s="85">
        <f>H36+H39</f>
        <v>1103.4</v>
      </c>
      <c r="I35" s="141" t="s">
        <v>0</v>
      </c>
      <c r="J35" s="142"/>
      <c r="K35" s="143"/>
      <c r="L35" s="51">
        <v>0</v>
      </c>
      <c r="M35" s="139">
        <f>600000</f>
        <v>600000</v>
      </c>
      <c r="N35" s="140"/>
      <c r="O35" s="54">
        <f>M35/1000</f>
        <v>600</v>
      </c>
    </row>
    <row r="36" spans="1:15" s="7" customFormat="1" ht="33.75" customHeight="1">
      <c r="A36" s="167" t="s">
        <v>154</v>
      </c>
      <c r="B36" s="168"/>
      <c r="C36" s="168"/>
      <c r="D36" s="30" t="s">
        <v>24</v>
      </c>
      <c r="E36" s="195" t="s">
        <v>155</v>
      </c>
      <c r="F36" s="157"/>
      <c r="G36" s="42"/>
      <c r="H36" s="59">
        <f>H37</f>
        <v>1103.4</v>
      </c>
      <c r="I36" s="51"/>
      <c r="J36" s="51"/>
      <c r="K36" s="66"/>
      <c r="L36" s="55">
        <v>0</v>
      </c>
      <c r="M36" s="86"/>
      <c r="N36" s="87"/>
      <c r="O36" s="57">
        <v>0</v>
      </c>
    </row>
    <row r="37" spans="1:15" s="7" customFormat="1" ht="33.75" customHeight="1">
      <c r="A37" s="167" t="s">
        <v>12</v>
      </c>
      <c r="B37" s="168"/>
      <c r="C37" s="168"/>
      <c r="D37" s="40" t="s">
        <v>24</v>
      </c>
      <c r="E37" s="171" t="s">
        <v>155</v>
      </c>
      <c r="F37" s="195"/>
      <c r="G37" s="107">
        <v>240</v>
      </c>
      <c r="H37" s="108">
        <f>H38</f>
        <v>1103.4</v>
      </c>
      <c r="I37" s="109"/>
      <c r="J37" s="109"/>
      <c r="K37" s="85"/>
      <c r="L37" s="110">
        <v>0</v>
      </c>
      <c r="M37" s="111"/>
      <c r="N37" s="112"/>
      <c r="O37" s="113">
        <v>0</v>
      </c>
    </row>
    <row r="38" spans="1:15" s="7" customFormat="1" ht="33.75" customHeight="1">
      <c r="A38" s="175" t="s">
        <v>171</v>
      </c>
      <c r="B38" s="176"/>
      <c r="C38" s="177"/>
      <c r="D38" s="40" t="s">
        <v>24</v>
      </c>
      <c r="E38" s="171" t="s">
        <v>155</v>
      </c>
      <c r="F38" s="154"/>
      <c r="G38" s="30">
        <v>244</v>
      </c>
      <c r="H38" s="59">
        <v>1103.4</v>
      </c>
      <c r="I38" s="80"/>
      <c r="J38" s="80"/>
      <c r="K38" s="80"/>
      <c r="L38" s="58">
        <v>0</v>
      </c>
      <c r="M38" s="58"/>
      <c r="N38" s="58"/>
      <c r="O38" s="57">
        <v>0</v>
      </c>
    </row>
    <row r="39" spans="1:15" s="1" customFormat="1" ht="34.5" customHeight="1">
      <c r="A39" s="181" t="s">
        <v>27</v>
      </c>
      <c r="B39" s="181"/>
      <c r="C39" s="181"/>
      <c r="D39" s="41" t="s">
        <v>24</v>
      </c>
      <c r="E39" s="230" t="s">
        <v>26</v>
      </c>
      <c r="F39" s="218"/>
      <c r="G39" s="49"/>
      <c r="H39" s="59">
        <f>H40</f>
        <v>0</v>
      </c>
      <c r="I39" s="134"/>
      <c r="J39" s="134"/>
      <c r="K39" s="134"/>
      <c r="L39" s="58">
        <v>0</v>
      </c>
      <c r="M39" s="134">
        <f>600000</f>
        <v>600000</v>
      </c>
      <c r="N39" s="134"/>
      <c r="O39" s="57">
        <f>M39/1000</f>
        <v>600</v>
      </c>
    </row>
    <row r="40" spans="1:15" s="1" customFormat="1" ht="44.25" customHeight="1">
      <c r="A40" s="181" t="s">
        <v>12</v>
      </c>
      <c r="B40" s="181"/>
      <c r="C40" s="181"/>
      <c r="D40" s="21" t="s">
        <v>24</v>
      </c>
      <c r="E40" s="190" t="s">
        <v>26</v>
      </c>
      <c r="F40" s="190"/>
      <c r="G40" s="41" t="s">
        <v>11</v>
      </c>
      <c r="H40" s="45">
        <f>H41</f>
        <v>0</v>
      </c>
      <c r="I40" s="242"/>
      <c r="J40" s="243"/>
      <c r="K40" s="244"/>
      <c r="L40" s="62">
        <v>0</v>
      </c>
      <c r="M40" s="215">
        <f>600000</f>
        <v>600000</v>
      </c>
      <c r="N40" s="216"/>
      <c r="O40" s="116">
        <f>M40/1000</f>
        <v>600</v>
      </c>
    </row>
    <row r="41" spans="1:15" s="1" customFormat="1" ht="44.25" customHeight="1">
      <c r="A41" s="175" t="s">
        <v>171</v>
      </c>
      <c r="B41" s="176"/>
      <c r="C41" s="177"/>
      <c r="D41" s="21" t="s">
        <v>24</v>
      </c>
      <c r="E41" s="190" t="s">
        <v>26</v>
      </c>
      <c r="F41" s="190"/>
      <c r="G41" s="34">
        <v>244</v>
      </c>
      <c r="H41" s="117">
        <v>0</v>
      </c>
      <c r="I41" s="114"/>
      <c r="J41" s="115"/>
      <c r="K41" s="45"/>
      <c r="L41" s="62">
        <v>0</v>
      </c>
      <c r="M41" s="81"/>
      <c r="N41" s="82"/>
      <c r="O41" s="116">
        <v>600</v>
      </c>
    </row>
    <row r="42" spans="1:15" s="1" customFormat="1" ht="24.75" customHeight="1">
      <c r="A42" s="169" t="s">
        <v>156</v>
      </c>
      <c r="B42" s="170"/>
      <c r="C42" s="170"/>
      <c r="D42" s="48" t="s">
        <v>157</v>
      </c>
      <c r="E42" s="261"/>
      <c r="F42" s="261"/>
      <c r="G42" s="35"/>
      <c r="H42" s="50">
        <f>H43</f>
        <v>1559.4</v>
      </c>
      <c r="I42" s="102"/>
      <c r="J42" s="103"/>
      <c r="K42" s="104"/>
      <c r="L42" s="51">
        <v>0</v>
      </c>
      <c r="M42" s="52"/>
      <c r="N42" s="53"/>
      <c r="O42" s="54">
        <v>0</v>
      </c>
    </row>
    <row r="43" spans="1:15" s="1" customFormat="1" ht="33.75" customHeight="1">
      <c r="A43" s="193" t="s">
        <v>158</v>
      </c>
      <c r="B43" s="193"/>
      <c r="C43" s="193"/>
      <c r="D43" s="49" t="s">
        <v>157</v>
      </c>
      <c r="E43" s="171">
        <v>9001100</v>
      </c>
      <c r="F43" s="195"/>
      <c r="G43" s="35"/>
      <c r="H43" s="46">
        <f>H44</f>
        <v>1559.4</v>
      </c>
      <c r="I43" s="83"/>
      <c r="J43" s="84"/>
      <c r="K43" s="37"/>
      <c r="L43" s="55">
        <v>0</v>
      </c>
      <c r="M43" s="56"/>
      <c r="N43" s="47"/>
      <c r="O43" s="57">
        <v>0</v>
      </c>
    </row>
    <row r="44" spans="1:15" s="1" customFormat="1" ht="28.5" customHeight="1">
      <c r="A44" s="193" t="s">
        <v>159</v>
      </c>
      <c r="B44" s="193"/>
      <c r="C44" s="193"/>
      <c r="D44" s="49" t="s">
        <v>157</v>
      </c>
      <c r="E44" s="171">
        <v>9001100</v>
      </c>
      <c r="F44" s="195"/>
      <c r="G44" s="35">
        <v>870</v>
      </c>
      <c r="H44" s="46">
        <v>1559.4</v>
      </c>
      <c r="I44" s="83"/>
      <c r="J44" s="84"/>
      <c r="K44" s="37"/>
      <c r="L44" s="55">
        <v>0</v>
      </c>
      <c r="M44" s="56"/>
      <c r="N44" s="47"/>
      <c r="O44" s="57">
        <v>0</v>
      </c>
    </row>
    <row r="45" spans="1:15" s="1" customFormat="1" ht="25.5" customHeight="1">
      <c r="A45" s="161" t="s">
        <v>29</v>
      </c>
      <c r="B45" s="161"/>
      <c r="C45" s="161"/>
      <c r="D45" s="39" t="s">
        <v>28</v>
      </c>
      <c r="E45" s="262"/>
      <c r="F45" s="262"/>
      <c r="G45" s="15"/>
      <c r="H45" s="85">
        <f>H46+H59+H64</f>
        <v>2219</v>
      </c>
      <c r="I45" s="141">
        <f>I46+I59</f>
        <v>1200000</v>
      </c>
      <c r="J45" s="142"/>
      <c r="K45" s="143"/>
      <c r="L45" s="51">
        <f aca="true" t="shared" si="2" ref="L45:L79">I45/1000</f>
        <v>1200</v>
      </c>
      <c r="M45" s="139">
        <f>M46+M59</f>
        <v>1250000</v>
      </c>
      <c r="N45" s="140"/>
      <c r="O45" s="54">
        <f>M45/1000</f>
        <v>1250</v>
      </c>
    </row>
    <row r="46" spans="1:15" s="1" customFormat="1" ht="35.25" customHeight="1">
      <c r="A46" s="158" t="s">
        <v>119</v>
      </c>
      <c r="B46" s="159"/>
      <c r="C46" s="160"/>
      <c r="D46" s="16" t="s">
        <v>28</v>
      </c>
      <c r="E46" s="228" t="s">
        <v>112</v>
      </c>
      <c r="F46" s="229"/>
      <c r="G46" s="33"/>
      <c r="H46" s="58">
        <f>H47+H50+H54+H57</f>
        <v>661.7</v>
      </c>
      <c r="I46" s="226">
        <f>I47+I50+I54+I57</f>
        <v>600000</v>
      </c>
      <c r="J46" s="226"/>
      <c r="K46" s="227"/>
      <c r="L46" s="55">
        <f t="shared" si="2"/>
        <v>600</v>
      </c>
      <c r="M46" s="241">
        <f>M47+M50+M54+M57</f>
        <v>600000</v>
      </c>
      <c r="N46" s="226"/>
      <c r="O46" s="57">
        <f>M46/1000</f>
        <v>600</v>
      </c>
    </row>
    <row r="47" spans="1:15" s="1" customFormat="1" ht="45.75" customHeight="1">
      <c r="A47" s="158" t="s">
        <v>114</v>
      </c>
      <c r="B47" s="159"/>
      <c r="C47" s="160"/>
      <c r="D47" s="16" t="s">
        <v>28</v>
      </c>
      <c r="E47" s="228" t="s">
        <v>113</v>
      </c>
      <c r="F47" s="229"/>
      <c r="G47" s="33"/>
      <c r="H47" s="58">
        <f>H48</f>
        <v>84</v>
      </c>
      <c r="I47" s="226">
        <v>85000</v>
      </c>
      <c r="J47" s="226"/>
      <c r="K47" s="227"/>
      <c r="L47" s="55">
        <f t="shared" si="2"/>
        <v>85</v>
      </c>
      <c r="M47" s="241">
        <v>85000</v>
      </c>
      <c r="N47" s="226"/>
      <c r="O47" s="57">
        <f>M47/1000</f>
        <v>85</v>
      </c>
    </row>
    <row r="48" spans="1:15" s="1" customFormat="1" ht="45.75" customHeight="1">
      <c r="A48" s="181" t="s">
        <v>12</v>
      </c>
      <c r="B48" s="181"/>
      <c r="C48" s="181"/>
      <c r="D48" s="16" t="s">
        <v>28</v>
      </c>
      <c r="E48" s="228" t="s">
        <v>113</v>
      </c>
      <c r="F48" s="229"/>
      <c r="G48" s="38" t="s">
        <v>11</v>
      </c>
      <c r="H48" s="59">
        <f>H49</f>
        <v>84</v>
      </c>
      <c r="I48" s="226">
        <v>85000</v>
      </c>
      <c r="J48" s="226"/>
      <c r="K48" s="227"/>
      <c r="L48" s="55">
        <f t="shared" si="2"/>
        <v>85</v>
      </c>
      <c r="M48" s="241">
        <v>85000</v>
      </c>
      <c r="N48" s="226"/>
      <c r="O48" s="57">
        <f>M48/1000</f>
        <v>85</v>
      </c>
    </row>
    <row r="49" spans="1:15" s="1" customFormat="1" ht="45.75" customHeight="1">
      <c r="A49" s="175" t="s">
        <v>170</v>
      </c>
      <c r="B49" s="176"/>
      <c r="C49" s="177"/>
      <c r="D49" s="16" t="s">
        <v>28</v>
      </c>
      <c r="E49" s="228" t="s">
        <v>113</v>
      </c>
      <c r="F49" s="229"/>
      <c r="G49" s="38">
        <v>242</v>
      </c>
      <c r="H49" s="59">
        <v>84</v>
      </c>
      <c r="I49" s="55"/>
      <c r="J49" s="55"/>
      <c r="K49" s="105"/>
      <c r="L49" s="55">
        <v>85</v>
      </c>
      <c r="M49" s="87"/>
      <c r="N49" s="55"/>
      <c r="O49" s="57">
        <v>85</v>
      </c>
    </row>
    <row r="50" spans="1:15" s="1" customFormat="1" ht="45" customHeight="1">
      <c r="A50" s="158" t="s">
        <v>120</v>
      </c>
      <c r="B50" s="159"/>
      <c r="C50" s="160"/>
      <c r="D50" s="16" t="s">
        <v>28</v>
      </c>
      <c r="E50" s="228" t="s">
        <v>115</v>
      </c>
      <c r="F50" s="229"/>
      <c r="G50" s="33"/>
      <c r="H50" s="58">
        <f>H51</f>
        <v>558.5</v>
      </c>
      <c r="I50" s="226">
        <v>459300</v>
      </c>
      <c r="J50" s="226"/>
      <c r="K50" s="227"/>
      <c r="L50" s="55">
        <f t="shared" si="2"/>
        <v>459.3</v>
      </c>
      <c r="M50" s="241">
        <v>459300</v>
      </c>
      <c r="N50" s="226"/>
      <c r="O50" s="57">
        <f>M50/1000</f>
        <v>459.3</v>
      </c>
    </row>
    <row r="51" spans="1:15" s="1" customFormat="1" ht="48" customHeight="1">
      <c r="A51" s="181" t="s">
        <v>12</v>
      </c>
      <c r="B51" s="181"/>
      <c r="C51" s="181"/>
      <c r="D51" s="16" t="s">
        <v>28</v>
      </c>
      <c r="E51" s="228" t="s">
        <v>115</v>
      </c>
      <c r="F51" s="229"/>
      <c r="G51" s="38" t="s">
        <v>11</v>
      </c>
      <c r="H51" s="59">
        <f>H52+H53</f>
        <v>558.5</v>
      </c>
      <c r="I51" s="226">
        <v>459300</v>
      </c>
      <c r="J51" s="226"/>
      <c r="K51" s="227"/>
      <c r="L51" s="55">
        <f t="shared" si="2"/>
        <v>459.3</v>
      </c>
      <c r="M51" s="241">
        <v>459300</v>
      </c>
      <c r="N51" s="226"/>
      <c r="O51" s="57">
        <f>M51/1000</f>
        <v>459.3</v>
      </c>
    </row>
    <row r="52" spans="1:15" s="1" customFormat="1" ht="48" customHeight="1">
      <c r="A52" s="175" t="s">
        <v>170</v>
      </c>
      <c r="B52" s="176"/>
      <c r="C52" s="177"/>
      <c r="D52" s="16" t="s">
        <v>28</v>
      </c>
      <c r="E52" s="228" t="s">
        <v>115</v>
      </c>
      <c r="F52" s="229"/>
      <c r="G52" s="38">
        <v>242</v>
      </c>
      <c r="H52" s="59">
        <v>65.6</v>
      </c>
      <c r="I52" s="55"/>
      <c r="J52" s="55"/>
      <c r="K52" s="105"/>
      <c r="L52" s="55">
        <v>69.2</v>
      </c>
      <c r="M52" s="87"/>
      <c r="N52" s="55"/>
      <c r="O52" s="57">
        <v>73.1</v>
      </c>
    </row>
    <row r="53" spans="1:15" s="1" customFormat="1" ht="48" customHeight="1">
      <c r="A53" s="175" t="s">
        <v>171</v>
      </c>
      <c r="B53" s="176"/>
      <c r="C53" s="177"/>
      <c r="D53" s="16" t="s">
        <v>28</v>
      </c>
      <c r="E53" s="228" t="s">
        <v>115</v>
      </c>
      <c r="F53" s="229"/>
      <c r="G53" s="38">
        <v>244</v>
      </c>
      <c r="H53" s="59">
        <v>492.9</v>
      </c>
      <c r="I53" s="55"/>
      <c r="J53" s="55"/>
      <c r="K53" s="105"/>
      <c r="L53" s="55">
        <f>L51-L52</f>
        <v>390.1</v>
      </c>
      <c r="M53" s="87"/>
      <c r="N53" s="55"/>
      <c r="O53" s="57">
        <f>O51-O52</f>
        <v>386.20000000000005</v>
      </c>
    </row>
    <row r="54" spans="1:15" s="1" customFormat="1" ht="32.25" customHeight="1">
      <c r="A54" s="158" t="s">
        <v>121</v>
      </c>
      <c r="B54" s="159"/>
      <c r="C54" s="160"/>
      <c r="D54" s="16" t="s">
        <v>28</v>
      </c>
      <c r="E54" s="228" t="s">
        <v>116</v>
      </c>
      <c r="F54" s="229"/>
      <c r="G54" s="33"/>
      <c r="H54" s="58">
        <f>H55</f>
        <v>19.2</v>
      </c>
      <c r="I54" s="226">
        <v>44200</v>
      </c>
      <c r="J54" s="226"/>
      <c r="K54" s="227"/>
      <c r="L54" s="55">
        <f t="shared" si="2"/>
        <v>44.2</v>
      </c>
      <c r="M54" s="241">
        <v>44200</v>
      </c>
      <c r="N54" s="226"/>
      <c r="O54" s="57">
        <f>M54/1000</f>
        <v>44.2</v>
      </c>
    </row>
    <row r="55" spans="1:15" s="1" customFormat="1" ht="48.75" customHeight="1">
      <c r="A55" s="181" t="s">
        <v>12</v>
      </c>
      <c r="B55" s="181"/>
      <c r="C55" s="181"/>
      <c r="D55" s="16" t="s">
        <v>28</v>
      </c>
      <c r="E55" s="228" t="s">
        <v>116</v>
      </c>
      <c r="F55" s="229"/>
      <c r="G55" s="38" t="s">
        <v>11</v>
      </c>
      <c r="H55" s="59">
        <f>H56</f>
        <v>19.2</v>
      </c>
      <c r="I55" s="226">
        <v>44200</v>
      </c>
      <c r="J55" s="226"/>
      <c r="K55" s="227"/>
      <c r="L55" s="55">
        <f t="shared" si="2"/>
        <v>44.2</v>
      </c>
      <c r="M55" s="241">
        <v>44200</v>
      </c>
      <c r="N55" s="226"/>
      <c r="O55" s="57">
        <f>M55/1000</f>
        <v>44.2</v>
      </c>
    </row>
    <row r="56" spans="1:15" s="1" customFormat="1" ht="48.75" customHeight="1">
      <c r="A56" s="175" t="s">
        <v>171</v>
      </c>
      <c r="B56" s="176"/>
      <c r="C56" s="177"/>
      <c r="D56" s="16" t="s">
        <v>28</v>
      </c>
      <c r="E56" s="228" t="s">
        <v>116</v>
      </c>
      <c r="F56" s="229"/>
      <c r="G56" s="38">
        <v>244</v>
      </c>
      <c r="H56" s="59">
        <v>19.2</v>
      </c>
      <c r="I56" s="55"/>
      <c r="J56" s="55"/>
      <c r="K56" s="105"/>
      <c r="L56" s="55">
        <v>44.2</v>
      </c>
      <c r="M56" s="87"/>
      <c r="N56" s="55"/>
      <c r="O56" s="57">
        <v>44.2</v>
      </c>
    </row>
    <row r="57" spans="1:15" s="1" customFormat="1" ht="35.25" customHeight="1">
      <c r="A57" s="158" t="s">
        <v>118</v>
      </c>
      <c r="B57" s="159"/>
      <c r="C57" s="160"/>
      <c r="D57" s="16" t="s">
        <v>28</v>
      </c>
      <c r="E57" s="228" t="s">
        <v>117</v>
      </c>
      <c r="F57" s="229"/>
      <c r="G57" s="33"/>
      <c r="H57" s="58">
        <f>H58</f>
        <v>0</v>
      </c>
      <c r="I57" s="226">
        <v>11500</v>
      </c>
      <c r="J57" s="226"/>
      <c r="K57" s="227"/>
      <c r="L57" s="55">
        <f t="shared" si="2"/>
        <v>11.5</v>
      </c>
      <c r="M57" s="241">
        <v>11500</v>
      </c>
      <c r="N57" s="226"/>
      <c r="O57" s="57">
        <f>M57/1000</f>
        <v>11.5</v>
      </c>
    </row>
    <row r="58" spans="1:15" s="1" customFormat="1" ht="32.25" customHeight="1">
      <c r="A58" s="181" t="s">
        <v>13</v>
      </c>
      <c r="B58" s="181"/>
      <c r="C58" s="181"/>
      <c r="D58" s="16" t="s">
        <v>28</v>
      </c>
      <c r="E58" s="228" t="s">
        <v>117</v>
      </c>
      <c r="F58" s="229"/>
      <c r="G58" s="38">
        <v>330</v>
      </c>
      <c r="H58" s="59">
        <v>0</v>
      </c>
      <c r="I58" s="226">
        <v>11500</v>
      </c>
      <c r="J58" s="226"/>
      <c r="K58" s="227"/>
      <c r="L58" s="55">
        <f t="shared" si="2"/>
        <v>11.5</v>
      </c>
      <c r="M58" s="241">
        <v>11500</v>
      </c>
      <c r="N58" s="226"/>
      <c r="O58" s="57">
        <f>M58/1000</f>
        <v>11.5</v>
      </c>
    </row>
    <row r="59" spans="1:15" s="1" customFormat="1" ht="44.25" customHeight="1">
      <c r="A59" s="181" t="s">
        <v>31</v>
      </c>
      <c r="B59" s="181"/>
      <c r="C59" s="181"/>
      <c r="D59" s="17" t="s">
        <v>28</v>
      </c>
      <c r="E59" s="187" t="s">
        <v>30</v>
      </c>
      <c r="F59" s="187"/>
      <c r="G59" s="18"/>
      <c r="H59" s="45">
        <f>H60+H62</f>
        <v>1457.3</v>
      </c>
      <c r="I59" s="153">
        <f>600000</f>
        <v>600000</v>
      </c>
      <c r="J59" s="132"/>
      <c r="K59" s="133"/>
      <c r="L59" s="55">
        <f t="shared" si="2"/>
        <v>600</v>
      </c>
      <c r="M59" s="137">
        <f>650000</f>
        <v>650000</v>
      </c>
      <c r="N59" s="138"/>
      <c r="O59" s="57">
        <f>M59/1000</f>
        <v>650</v>
      </c>
    </row>
    <row r="60" spans="1:15" s="1" customFormat="1" ht="44.25" customHeight="1">
      <c r="A60" s="181" t="s">
        <v>12</v>
      </c>
      <c r="B60" s="181"/>
      <c r="C60" s="181"/>
      <c r="D60" s="17" t="s">
        <v>28</v>
      </c>
      <c r="E60" s="187" t="s">
        <v>30</v>
      </c>
      <c r="F60" s="187"/>
      <c r="G60" s="17" t="s">
        <v>11</v>
      </c>
      <c r="H60" s="37">
        <f>H61</f>
        <v>1332.3</v>
      </c>
      <c r="I60" s="153">
        <f>600000</f>
        <v>600000</v>
      </c>
      <c r="J60" s="132"/>
      <c r="K60" s="133"/>
      <c r="L60" s="55">
        <f t="shared" si="2"/>
        <v>600</v>
      </c>
      <c r="M60" s="137">
        <f>650000</f>
        <v>650000</v>
      </c>
      <c r="N60" s="138"/>
      <c r="O60" s="88">
        <f>M60/1000</f>
        <v>650</v>
      </c>
    </row>
    <row r="61" spans="1:15" s="1" customFormat="1" ht="44.25" customHeight="1">
      <c r="A61" s="175" t="s">
        <v>171</v>
      </c>
      <c r="B61" s="176"/>
      <c r="C61" s="177"/>
      <c r="D61" s="17" t="s">
        <v>28</v>
      </c>
      <c r="E61" s="187" t="s">
        <v>30</v>
      </c>
      <c r="F61" s="187"/>
      <c r="G61" s="17">
        <v>244</v>
      </c>
      <c r="H61" s="37">
        <v>1332.3</v>
      </c>
      <c r="I61" s="83"/>
      <c r="J61" s="84"/>
      <c r="K61" s="37"/>
      <c r="L61" s="55">
        <v>600</v>
      </c>
      <c r="M61" s="56"/>
      <c r="N61" s="47"/>
      <c r="O61" s="88">
        <v>650</v>
      </c>
    </row>
    <row r="62" spans="1:15" s="1" customFormat="1" ht="28.5" customHeight="1">
      <c r="A62" s="181" t="s">
        <v>15</v>
      </c>
      <c r="B62" s="181"/>
      <c r="C62" s="181"/>
      <c r="D62" s="17" t="s">
        <v>28</v>
      </c>
      <c r="E62" s="187" t="s">
        <v>30</v>
      </c>
      <c r="F62" s="187"/>
      <c r="G62" s="17">
        <v>850</v>
      </c>
      <c r="H62" s="37">
        <f>H63</f>
        <v>125</v>
      </c>
      <c r="I62" s="83"/>
      <c r="J62" s="84"/>
      <c r="K62" s="37"/>
      <c r="L62" s="55">
        <v>0</v>
      </c>
      <c r="M62" s="56"/>
      <c r="N62" s="47"/>
      <c r="O62" s="88">
        <v>0</v>
      </c>
    </row>
    <row r="63" spans="1:15" s="1" customFormat="1" ht="27" customHeight="1">
      <c r="A63" s="178" t="s">
        <v>178</v>
      </c>
      <c r="B63" s="179"/>
      <c r="C63" s="180"/>
      <c r="D63" s="17" t="s">
        <v>28</v>
      </c>
      <c r="E63" s="187" t="s">
        <v>30</v>
      </c>
      <c r="F63" s="187"/>
      <c r="G63" s="17">
        <v>852</v>
      </c>
      <c r="H63" s="37">
        <v>125</v>
      </c>
      <c r="I63" s="83"/>
      <c r="J63" s="84"/>
      <c r="K63" s="37"/>
      <c r="L63" s="55">
        <v>0</v>
      </c>
      <c r="M63" s="56"/>
      <c r="N63" s="47"/>
      <c r="O63" s="88">
        <v>0</v>
      </c>
    </row>
    <row r="64" spans="1:15" s="1" customFormat="1" ht="39" customHeight="1">
      <c r="A64" s="284" t="s">
        <v>192</v>
      </c>
      <c r="B64" s="284"/>
      <c r="C64" s="290"/>
      <c r="D64" s="18" t="s">
        <v>28</v>
      </c>
      <c r="E64" s="209">
        <v>7950140</v>
      </c>
      <c r="F64" s="263"/>
      <c r="G64" s="17"/>
      <c r="H64" s="37">
        <f>H65</f>
        <v>100</v>
      </c>
      <c r="I64" s="83"/>
      <c r="J64" s="84"/>
      <c r="K64" s="37"/>
      <c r="L64" s="55">
        <f>L65</f>
        <v>0</v>
      </c>
      <c r="M64" s="56"/>
      <c r="N64" s="47"/>
      <c r="O64" s="88">
        <f>O65</f>
        <v>0</v>
      </c>
    </row>
    <row r="65" spans="1:15" s="1" customFormat="1" ht="31.5" customHeight="1">
      <c r="A65" s="181" t="s">
        <v>12</v>
      </c>
      <c r="B65" s="181"/>
      <c r="C65" s="181"/>
      <c r="D65" s="18" t="s">
        <v>28</v>
      </c>
      <c r="E65" s="209">
        <v>7950140</v>
      </c>
      <c r="F65" s="263"/>
      <c r="G65" s="17">
        <v>240</v>
      </c>
      <c r="H65" s="37">
        <f>H66</f>
        <v>100</v>
      </c>
      <c r="I65" s="83"/>
      <c r="J65" s="84"/>
      <c r="K65" s="37"/>
      <c r="L65" s="55">
        <f>L66</f>
        <v>0</v>
      </c>
      <c r="M65" s="56"/>
      <c r="N65" s="47"/>
      <c r="O65" s="88">
        <f>O66</f>
        <v>0</v>
      </c>
    </row>
    <row r="66" spans="1:15" s="1" customFormat="1" ht="30.75" customHeight="1">
      <c r="A66" s="175" t="s">
        <v>171</v>
      </c>
      <c r="B66" s="176"/>
      <c r="C66" s="177"/>
      <c r="D66" s="18" t="s">
        <v>28</v>
      </c>
      <c r="E66" s="209">
        <v>7950140</v>
      </c>
      <c r="F66" s="263"/>
      <c r="G66" s="17">
        <v>244</v>
      </c>
      <c r="H66" s="37">
        <v>100</v>
      </c>
      <c r="I66" s="83"/>
      <c r="J66" s="84"/>
      <c r="K66" s="37"/>
      <c r="L66" s="55">
        <v>0</v>
      </c>
      <c r="M66" s="56"/>
      <c r="N66" s="47"/>
      <c r="O66" s="88">
        <v>0</v>
      </c>
    </row>
    <row r="67" spans="1:15" s="1" customFormat="1" ht="37.5" customHeight="1">
      <c r="A67" s="182" t="s">
        <v>131</v>
      </c>
      <c r="B67" s="182"/>
      <c r="C67" s="182"/>
      <c r="D67" s="25" t="s">
        <v>132</v>
      </c>
      <c r="E67" s="189"/>
      <c r="F67" s="189"/>
      <c r="G67" s="25"/>
      <c r="H67" s="63">
        <f>H68+H72</f>
        <v>155</v>
      </c>
      <c r="I67" s="163">
        <f>I68+I72</f>
        <v>160000</v>
      </c>
      <c r="J67" s="164"/>
      <c r="K67" s="165"/>
      <c r="L67" s="67">
        <f t="shared" si="2"/>
        <v>160</v>
      </c>
      <c r="M67" s="166">
        <f>M68+M72</f>
        <v>170000</v>
      </c>
      <c r="N67" s="147"/>
      <c r="O67" s="68">
        <f>M67/1000</f>
        <v>170</v>
      </c>
    </row>
    <row r="68" spans="1:15" s="1" customFormat="1" ht="48.75" customHeight="1">
      <c r="A68" s="183" t="s">
        <v>33</v>
      </c>
      <c r="B68" s="183"/>
      <c r="C68" s="183"/>
      <c r="D68" s="19" t="s">
        <v>32</v>
      </c>
      <c r="E68" s="188"/>
      <c r="F68" s="188"/>
      <c r="G68" s="15"/>
      <c r="H68" s="66">
        <v>50</v>
      </c>
      <c r="I68" s="141">
        <f>50000</f>
        <v>50000</v>
      </c>
      <c r="J68" s="142"/>
      <c r="K68" s="143"/>
      <c r="L68" s="51">
        <f t="shared" si="2"/>
        <v>50</v>
      </c>
      <c r="M68" s="139">
        <f>60000</f>
        <v>60000</v>
      </c>
      <c r="N68" s="140"/>
      <c r="O68" s="54">
        <f>M68/1000</f>
        <v>60</v>
      </c>
    </row>
    <row r="69" spans="1:15" s="1" customFormat="1" ht="48.75" customHeight="1">
      <c r="A69" s="181" t="s">
        <v>35</v>
      </c>
      <c r="B69" s="181"/>
      <c r="C69" s="181"/>
      <c r="D69" s="17" t="s">
        <v>32</v>
      </c>
      <c r="E69" s="187" t="s">
        <v>34</v>
      </c>
      <c r="F69" s="187"/>
      <c r="G69" s="18"/>
      <c r="H69" s="37">
        <f>H70</f>
        <v>50</v>
      </c>
      <c r="I69" s="153">
        <f>50000</f>
        <v>50000</v>
      </c>
      <c r="J69" s="132"/>
      <c r="K69" s="133"/>
      <c r="L69" s="55">
        <f t="shared" si="2"/>
        <v>50</v>
      </c>
      <c r="M69" s="137">
        <f>60000</f>
        <v>60000</v>
      </c>
      <c r="N69" s="138"/>
      <c r="O69" s="57">
        <f>M69/1000</f>
        <v>60</v>
      </c>
    </row>
    <row r="70" spans="1:15" s="1" customFormat="1" ht="42.75" customHeight="1">
      <c r="A70" s="181" t="s">
        <v>12</v>
      </c>
      <c r="B70" s="181"/>
      <c r="C70" s="181"/>
      <c r="D70" s="17" t="s">
        <v>32</v>
      </c>
      <c r="E70" s="187" t="s">
        <v>34</v>
      </c>
      <c r="F70" s="187"/>
      <c r="G70" s="17" t="s">
        <v>11</v>
      </c>
      <c r="H70" s="37">
        <f>H71</f>
        <v>50</v>
      </c>
      <c r="I70" s="153">
        <f>50000</f>
        <v>50000</v>
      </c>
      <c r="J70" s="132"/>
      <c r="K70" s="133"/>
      <c r="L70" s="55">
        <f t="shared" si="2"/>
        <v>50</v>
      </c>
      <c r="M70" s="137">
        <f>60000</f>
        <v>60000</v>
      </c>
      <c r="N70" s="138"/>
      <c r="O70" s="57">
        <f>M70/1000</f>
        <v>60</v>
      </c>
    </row>
    <row r="71" spans="1:15" s="1" customFormat="1" ht="42.75" customHeight="1">
      <c r="A71" s="175" t="s">
        <v>171</v>
      </c>
      <c r="B71" s="176"/>
      <c r="C71" s="177"/>
      <c r="D71" s="17" t="s">
        <v>32</v>
      </c>
      <c r="E71" s="187" t="s">
        <v>34</v>
      </c>
      <c r="F71" s="187"/>
      <c r="G71" s="17">
        <v>244</v>
      </c>
      <c r="H71" s="37">
        <v>50</v>
      </c>
      <c r="I71" s="83"/>
      <c r="J71" s="84"/>
      <c r="K71" s="37"/>
      <c r="L71" s="55">
        <v>50</v>
      </c>
      <c r="M71" s="56"/>
      <c r="N71" s="47"/>
      <c r="O71" s="57">
        <v>60</v>
      </c>
    </row>
    <row r="72" spans="1:15" s="1" customFormat="1" ht="42" customHeight="1">
      <c r="A72" s="183" t="s">
        <v>37</v>
      </c>
      <c r="B72" s="183"/>
      <c r="C72" s="183"/>
      <c r="D72" s="19" t="s">
        <v>36</v>
      </c>
      <c r="E72" s="188"/>
      <c r="F72" s="188"/>
      <c r="G72" s="15"/>
      <c r="H72" s="66">
        <f>H73</f>
        <v>105</v>
      </c>
      <c r="I72" s="141">
        <f>110000</f>
        <v>110000</v>
      </c>
      <c r="J72" s="142"/>
      <c r="K72" s="143"/>
      <c r="L72" s="51">
        <f t="shared" si="2"/>
        <v>110</v>
      </c>
      <c r="M72" s="139">
        <f>110000</f>
        <v>110000</v>
      </c>
      <c r="N72" s="140"/>
      <c r="O72" s="54">
        <f>M72/1000</f>
        <v>110</v>
      </c>
    </row>
    <row r="73" spans="1:15" s="1" customFormat="1" ht="40.5" customHeight="1">
      <c r="A73" s="181" t="s">
        <v>111</v>
      </c>
      <c r="B73" s="181"/>
      <c r="C73" s="181"/>
      <c r="D73" s="17" t="s">
        <v>36</v>
      </c>
      <c r="E73" s="187">
        <v>7950130</v>
      </c>
      <c r="F73" s="187"/>
      <c r="G73" s="18"/>
      <c r="H73" s="37">
        <f>H74</f>
        <v>105</v>
      </c>
      <c r="I73" s="153">
        <f>110000</f>
        <v>110000</v>
      </c>
      <c r="J73" s="132"/>
      <c r="K73" s="133"/>
      <c r="L73" s="55">
        <f t="shared" si="2"/>
        <v>110</v>
      </c>
      <c r="M73" s="137">
        <f>110000</f>
        <v>110000</v>
      </c>
      <c r="N73" s="138"/>
      <c r="O73" s="57">
        <f>M73/1000</f>
        <v>110</v>
      </c>
    </row>
    <row r="74" spans="1:15" s="1" customFormat="1" ht="43.5" customHeight="1">
      <c r="A74" s="181" t="s">
        <v>12</v>
      </c>
      <c r="B74" s="181"/>
      <c r="C74" s="181"/>
      <c r="D74" s="17" t="s">
        <v>36</v>
      </c>
      <c r="E74" s="187">
        <v>7950130</v>
      </c>
      <c r="F74" s="187"/>
      <c r="G74" s="17" t="s">
        <v>11</v>
      </c>
      <c r="H74" s="37">
        <f>H75</f>
        <v>105</v>
      </c>
      <c r="I74" s="153">
        <f>110000</f>
        <v>110000</v>
      </c>
      <c r="J74" s="132"/>
      <c r="K74" s="133"/>
      <c r="L74" s="55">
        <f t="shared" si="2"/>
        <v>110</v>
      </c>
      <c r="M74" s="137">
        <f>110000</f>
        <v>110000</v>
      </c>
      <c r="N74" s="138"/>
      <c r="O74" s="57">
        <f>M74/1000</f>
        <v>110</v>
      </c>
    </row>
    <row r="75" spans="1:15" s="1" customFormat="1" ht="43.5" customHeight="1">
      <c r="A75" s="175" t="s">
        <v>171</v>
      </c>
      <c r="B75" s="176"/>
      <c r="C75" s="177"/>
      <c r="D75" s="17" t="s">
        <v>36</v>
      </c>
      <c r="E75" s="187">
        <v>7950130</v>
      </c>
      <c r="F75" s="187"/>
      <c r="G75" s="17">
        <v>244</v>
      </c>
      <c r="H75" s="37">
        <v>105</v>
      </c>
      <c r="I75" s="83"/>
      <c r="J75" s="84"/>
      <c r="K75" s="37"/>
      <c r="L75" s="55">
        <v>110</v>
      </c>
      <c r="M75" s="56"/>
      <c r="N75" s="47"/>
      <c r="O75" s="57">
        <v>110</v>
      </c>
    </row>
    <row r="76" spans="1:15" s="1" customFormat="1" ht="30.75" customHeight="1">
      <c r="A76" s="182" t="s">
        <v>133</v>
      </c>
      <c r="B76" s="182"/>
      <c r="C76" s="182"/>
      <c r="D76" s="25" t="s">
        <v>134</v>
      </c>
      <c r="E76" s="189"/>
      <c r="F76" s="189"/>
      <c r="G76" s="25"/>
      <c r="H76" s="89">
        <f>H77+H102</f>
        <v>40498.4</v>
      </c>
      <c r="I76" s="163">
        <f>I77</f>
        <v>18107200</v>
      </c>
      <c r="J76" s="164"/>
      <c r="K76" s="165"/>
      <c r="L76" s="67">
        <f t="shared" si="2"/>
        <v>18107.2</v>
      </c>
      <c r="M76" s="166">
        <f>M77</f>
        <v>19142800</v>
      </c>
      <c r="N76" s="147"/>
      <c r="O76" s="90">
        <f>M76/1000</f>
        <v>19142.8</v>
      </c>
    </row>
    <row r="77" spans="1:15" s="1" customFormat="1" ht="28.5" customHeight="1">
      <c r="A77" s="183" t="s">
        <v>39</v>
      </c>
      <c r="B77" s="183"/>
      <c r="C77" s="183"/>
      <c r="D77" s="19" t="s">
        <v>38</v>
      </c>
      <c r="E77" s="188"/>
      <c r="F77" s="188"/>
      <c r="G77" s="15"/>
      <c r="H77" s="66">
        <f>H80+H82+H84+H87+H90+H91+H95+H98+H101</f>
        <v>40490.9</v>
      </c>
      <c r="I77" s="141">
        <f>I78+I85</f>
        <v>18107200</v>
      </c>
      <c r="J77" s="142"/>
      <c r="K77" s="143"/>
      <c r="L77" s="51">
        <f t="shared" si="2"/>
        <v>18107.2</v>
      </c>
      <c r="M77" s="224">
        <f>M78+M85</f>
        <v>19142800</v>
      </c>
      <c r="N77" s="225"/>
      <c r="O77" s="54">
        <f>M77/1000</f>
        <v>19142.8</v>
      </c>
    </row>
    <row r="78" spans="1:15" s="1" customFormat="1" ht="30" customHeight="1">
      <c r="A78" s="181" t="s">
        <v>41</v>
      </c>
      <c r="B78" s="181"/>
      <c r="C78" s="181"/>
      <c r="D78" s="17" t="s">
        <v>38</v>
      </c>
      <c r="E78" s="187" t="s">
        <v>40</v>
      </c>
      <c r="F78" s="187"/>
      <c r="G78" s="18"/>
      <c r="H78" s="37">
        <f>H79+H81+H83</f>
        <v>15756.199999999999</v>
      </c>
      <c r="I78" s="153">
        <f>I79</f>
        <v>17307200</v>
      </c>
      <c r="J78" s="132"/>
      <c r="K78" s="133"/>
      <c r="L78" s="55">
        <f t="shared" si="2"/>
        <v>17307.2</v>
      </c>
      <c r="M78" s="134">
        <f>M79</f>
        <v>18342800</v>
      </c>
      <c r="N78" s="134"/>
      <c r="O78" s="57">
        <f>M78/1000</f>
        <v>18342.8</v>
      </c>
    </row>
    <row r="79" spans="1:15" s="1" customFormat="1" ht="39" customHeight="1">
      <c r="A79" s="181" t="s">
        <v>12</v>
      </c>
      <c r="B79" s="181"/>
      <c r="C79" s="181"/>
      <c r="D79" s="17" t="s">
        <v>38</v>
      </c>
      <c r="E79" s="187" t="s">
        <v>40</v>
      </c>
      <c r="F79" s="187"/>
      <c r="G79" s="17" t="s">
        <v>11</v>
      </c>
      <c r="H79" s="37">
        <f>H80</f>
        <v>13079.8</v>
      </c>
      <c r="I79" s="153">
        <f>16202000+1105200</f>
        <v>17307200</v>
      </c>
      <c r="J79" s="132"/>
      <c r="K79" s="133"/>
      <c r="L79" s="55">
        <f t="shared" si="2"/>
        <v>17307.2</v>
      </c>
      <c r="M79" s="134">
        <f>14105000+4237800</f>
        <v>18342800</v>
      </c>
      <c r="N79" s="134"/>
      <c r="O79" s="57">
        <f>M79/1000</f>
        <v>18342.8</v>
      </c>
    </row>
    <row r="80" spans="1:15" s="1" customFormat="1" ht="39" customHeight="1">
      <c r="A80" s="175" t="s">
        <v>171</v>
      </c>
      <c r="B80" s="176"/>
      <c r="C80" s="177"/>
      <c r="D80" s="17" t="s">
        <v>38</v>
      </c>
      <c r="E80" s="187" t="s">
        <v>40</v>
      </c>
      <c r="F80" s="187"/>
      <c r="G80" s="17">
        <v>244</v>
      </c>
      <c r="H80" s="37">
        <v>13079.8</v>
      </c>
      <c r="I80" s="83"/>
      <c r="J80" s="84"/>
      <c r="K80" s="37"/>
      <c r="L80" s="55">
        <v>17307.2</v>
      </c>
      <c r="M80" s="59"/>
      <c r="N80" s="59"/>
      <c r="O80" s="57">
        <v>18342.8</v>
      </c>
    </row>
    <row r="81" spans="1:15" s="1" customFormat="1" ht="33" customHeight="1">
      <c r="A81" s="175" t="s">
        <v>53</v>
      </c>
      <c r="B81" s="176"/>
      <c r="C81" s="177"/>
      <c r="D81" s="18" t="s">
        <v>38</v>
      </c>
      <c r="E81" s="187" t="s">
        <v>40</v>
      </c>
      <c r="F81" s="187"/>
      <c r="G81" s="17">
        <v>410</v>
      </c>
      <c r="H81" s="37">
        <f>H82</f>
        <v>2350</v>
      </c>
      <c r="I81" s="83"/>
      <c r="J81" s="84"/>
      <c r="K81" s="37"/>
      <c r="L81" s="55">
        <v>0</v>
      </c>
      <c r="M81" s="59"/>
      <c r="N81" s="59"/>
      <c r="O81" s="57">
        <v>0</v>
      </c>
    </row>
    <row r="82" spans="1:15" s="1" customFormat="1" ht="41.25" customHeight="1">
      <c r="A82" s="175" t="s">
        <v>173</v>
      </c>
      <c r="B82" s="176"/>
      <c r="C82" s="177"/>
      <c r="D82" s="18" t="s">
        <v>38</v>
      </c>
      <c r="E82" s="187" t="s">
        <v>40</v>
      </c>
      <c r="F82" s="187"/>
      <c r="G82" s="17">
        <v>414</v>
      </c>
      <c r="H82" s="37">
        <v>2350</v>
      </c>
      <c r="I82" s="83"/>
      <c r="J82" s="84"/>
      <c r="K82" s="37"/>
      <c r="L82" s="55">
        <v>0</v>
      </c>
      <c r="M82" s="59"/>
      <c r="N82" s="59"/>
      <c r="O82" s="57">
        <v>0</v>
      </c>
    </row>
    <row r="83" spans="1:15" s="1" customFormat="1" ht="41.25" customHeight="1">
      <c r="A83" s="258" t="s">
        <v>161</v>
      </c>
      <c r="B83" s="258"/>
      <c r="C83" s="258"/>
      <c r="D83" s="18" t="s">
        <v>38</v>
      </c>
      <c r="E83" s="209">
        <v>8202200</v>
      </c>
      <c r="F83" s="263"/>
      <c r="G83" s="17">
        <v>830</v>
      </c>
      <c r="H83" s="37">
        <f>H84</f>
        <v>326.4</v>
      </c>
      <c r="I83" s="83"/>
      <c r="J83" s="84"/>
      <c r="K83" s="37"/>
      <c r="L83" s="55">
        <f>L84</f>
        <v>0</v>
      </c>
      <c r="M83" s="59"/>
      <c r="N83" s="59"/>
      <c r="O83" s="57">
        <f>O84</f>
        <v>0</v>
      </c>
    </row>
    <row r="84" spans="1:15" s="1" customFormat="1" ht="95.25" customHeight="1">
      <c r="A84" s="184" t="s">
        <v>57</v>
      </c>
      <c r="B84" s="185"/>
      <c r="C84" s="186"/>
      <c r="D84" s="18" t="s">
        <v>38</v>
      </c>
      <c r="E84" s="209">
        <v>8202200</v>
      </c>
      <c r="F84" s="263"/>
      <c r="G84" s="17">
        <v>831</v>
      </c>
      <c r="H84" s="37">
        <v>326.4</v>
      </c>
      <c r="I84" s="83"/>
      <c r="J84" s="84"/>
      <c r="K84" s="37"/>
      <c r="L84" s="55">
        <v>0</v>
      </c>
      <c r="M84" s="59"/>
      <c r="N84" s="59"/>
      <c r="O84" s="57">
        <v>0</v>
      </c>
    </row>
    <row r="85" spans="1:15" s="1" customFormat="1" ht="36" customHeight="1">
      <c r="A85" s="181" t="s">
        <v>43</v>
      </c>
      <c r="B85" s="181"/>
      <c r="C85" s="181"/>
      <c r="D85" s="17" t="s">
        <v>38</v>
      </c>
      <c r="E85" s="187" t="s">
        <v>42</v>
      </c>
      <c r="F85" s="187"/>
      <c r="G85" s="18"/>
      <c r="H85" s="37">
        <f>H86</f>
        <v>1200</v>
      </c>
      <c r="I85" s="153">
        <f>800000</f>
        <v>800000</v>
      </c>
      <c r="J85" s="132"/>
      <c r="K85" s="133"/>
      <c r="L85" s="55">
        <f>I85/1000</f>
        <v>800</v>
      </c>
      <c r="M85" s="134">
        <f>M86</f>
        <v>800000</v>
      </c>
      <c r="N85" s="134"/>
      <c r="O85" s="57">
        <f>M85/1000</f>
        <v>800</v>
      </c>
    </row>
    <row r="86" spans="1:15" s="1" customFormat="1" ht="35.25" customHeight="1">
      <c r="A86" s="192" t="s">
        <v>12</v>
      </c>
      <c r="B86" s="192"/>
      <c r="C86" s="192"/>
      <c r="D86" s="21" t="s">
        <v>38</v>
      </c>
      <c r="E86" s="190" t="s">
        <v>42</v>
      </c>
      <c r="F86" s="190"/>
      <c r="G86" s="17" t="s">
        <v>11</v>
      </c>
      <c r="H86" s="37">
        <f>H87</f>
        <v>1200</v>
      </c>
      <c r="I86" s="153">
        <f>800000</f>
        <v>800000</v>
      </c>
      <c r="J86" s="132"/>
      <c r="K86" s="133"/>
      <c r="L86" s="55">
        <f>I86/1000</f>
        <v>800</v>
      </c>
      <c r="M86" s="134">
        <f>800000</f>
        <v>800000</v>
      </c>
      <c r="N86" s="134"/>
      <c r="O86" s="57">
        <f>M86/1000</f>
        <v>800</v>
      </c>
    </row>
    <row r="87" spans="1:15" s="1" customFormat="1" ht="35.25" customHeight="1">
      <c r="A87" s="175" t="s">
        <v>171</v>
      </c>
      <c r="B87" s="176"/>
      <c r="C87" s="177"/>
      <c r="D87" s="21" t="s">
        <v>38</v>
      </c>
      <c r="E87" s="190" t="s">
        <v>42</v>
      </c>
      <c r="F87" s="190"/>
      <c r="G87" s="35">
        <v>244</v>
      </c>
      <c r="H87" s="37">
        <v>1200</v>
      </c>
      <c r="I87" s="83"/>
      <c r="J87" s="84"/>
      <c r="K87" s="37"/>
      <c r="L87" s="55">
        <v>800</v>
      </c>
      <c r="M87" s="59"/>
      <c r="N87" s="59"/>
      <c r="O87" s="57">
        <v>800</v>
      </c>
    </row>
    <row r="88" spans="1:15" s="1" customFormat="1" ht="28.5" customHeight="1">
      <c r="A88" s="193" t="s">
        <v>160</v>
      </c>
      <c r="B88" s="193"/>
      <c r="C88" s="193"/>
      <c r="D88" s="21" t="s">
        <v>38</v>
      </c>
      <c r="E88" s="171">
        <v>8202400</v>
      </c>
      <c r="F88" s="195"/>
      <c r="G88" s="35"/>
      <c r="H88" s="37">
        <f>H89+H91</f>
        <v>1550</v>
      </c>
      <c r="I88" s="83"/>
      <c r="J88" s="84"/>
      <c r="K88" s="37"/>
      <c r="L88" s="55">
        <v>0</v>
      </c>
      <c r="M88" s="59"/>
      <c r="N88" s="59"/>
      <c r="O88" s="57">
        <v>0</v>
      </c>
    </row>
    <row r="89" spans="1:15" s="1" customFormat="1" ht="24.75" customHeight="1">
      <c r="A89" s="193" t="s">
        <v>53</v>
      </c>
      <c r="B89" s="193"/>
      <c r="C89" s="193"/>
      <c r="D89" s="21" t="s">
        <v>38</v>
      </c>
      <c r="E89" s="171">
        <v>8202400</v>
      </c>
      <c r="F89" s="195"/>
      <c r="G89" s="35">
        <v>410</v>
      </c>
      <c r="H89" s="37">
        <f>H90</f>
        <v>1210.2</v>
      </c>
      <c r="I89" s="83"/>
      <c r="J89" s="84"/>
      <c r="K89" s="37"/>
      <c r="L89" s="55">
        <v>0</v>
      </c>
      <c r="M89" s="59"/>
      <c r="N89" s="59"/>
      <c r="O89" s="57">
        <v>0</v>
      </c>
    </row>
    <row r="90" spans="1:15" s="1" customFormat="1" ht="42.75" customHeight="1">
      <c r="A90" s="175" t="s">
        <v>173</v>
      </c>
      <c r="B90" s="176"/>
      <c r="C90" s="177"/>
      <c r="D90" s="21" t="s">
        <v>38</v>
      </c>
      <c r="E90" s="171">
        <v>8202400</v>
      </c>
      <c r="F90" s="195"/>
      <c r="G90" s="35">
        <v>414</v>
      </c>
      <c r="H90" s="37">
        <v>1210.2</v>
      </c>
      <c r="I90" s="83"/>
      <c r="J90" s="84"/>
      <c r="K90" s="37"/>
      <c r="L90" s="55">
        <v>0</v>
      </c>
      <c r="M90" s="59"/>
      <c r="N90" s="59"/>
      <c r="O90" s="57">
        <v>0</v>
      </c>
    </row>
    <row r="91" spans="1:15" s="1" customFormat="1" ht="33.75" customHeight="1">
      <c r="A91" s="258" t="s">
        <v>161</v>
      </c>
      <c r="B91" s="258"/>
      <c r="C91" s="258"/>
      <c r="D91" s="21" t="s">
        <v>38</v>
      </c>
      <c r="E91" s="172">
        <v>8202400</v>
      </c>
      <c r="F91" s="173"/>
      <c r="G91" s="35">
        <v>830</v>
      </c>
      <c r="H91" s="37">
        <f>H92</f>
        <v>339.8</v>
      </c>
      <c r="I91" s="83"/>
      <c r="J91" s="84"/>
      <c r="K91" s="37"/>
      <c r="L91" s="55">
        <v>0</v>
      </c>
      <c r="M91" s="59"/>
      <c r="N91" s="59"/>
      <c r="O91" s="57">
        <v>0</v>
      </c>
    </row>
    <row r="92" spans="1:15" s="1" customFormat="1" ht="93.75" customHeight="1">
      <c r="A92" s="264" t="s">
        <v>57</v>
      </c>
      <c r="B92" s="265"/>
      <c r="C92" s="266"/>
      <c r="D92" s="21" t="s">
        <v>38</v>
      </c>
      <c r="E92" s="172">
        <v>8202400</v>
      </c>
      <c r="F92" s="173"/>
      <c r="G92" s="36">
        <v>831</v>
      </c>
      <c r="H92" s="46">
        <v>339.8</v>
      </c>
      <c r="I92" s="267"/>
      <c r="J92" s="130"/>
      <c r="K92" s="46"/>
      <c r="L92" s="110">
        <v>0</v>
      </c>
      <c r="M92" s="108"/>
      <c r="N92" s="108"/>
      <c r="O92" s="113">
        <v>0</v>
      </c>
    </row>
    <row r="93" spans="1:15" s="1" customFormat="1" ht="39" customHeight="1">
      <c r="A93" s="280" t="s">
        <v>180</v>
      </c>
      <c r="B93" s="281"/>
      <c r="C93" s="282"/>
      <c r="D93" s="49" t="s">
        <v>38</v>
      </c>
      <c r="E93" s="157">
        <v>8204406</v>
      </c>
      <c r="F93" s="157"/>
      <c r="G93" s="30"/>
      <c r="H93" s="59">
        <f>H94</f>
        <v>302.8</v>
      </c>
      <c r="I93" s="59"/>
      <c r="J93" s="59"/>
      <c r="K93" s="59"/>
      <c r="L93" s="58">
        <f>L94</f>
        <v>0</v>
      </c>
      <c r="M93" s="59"/>
      <c r="N93" s="59"/>
      <c r="O93" s="57">
        <f>O94</f>
        <v>0</v>
      </c>
    </row>
    <row r="94" spans="1:15" s="1" customFormat="1" ht="30.75" customHeight="1">
      <c r="A94" s="192" t="s">
        <v>12</v>
      </c>
      <c r="B94" s="192"/>
      <c r="C94" s="192"/>
      <c r="D94" s="49" t="s">
        <v>38</v>
      </c>
      <c r="E94" s="171">
        <v>8204406</v>
      </c>
      <c r="F94" s="195"/>
      <c r="G94" s="30">
        <v>240</v>
      </c>
      <c r="H94" s="59">
        <f>H95</f>
        <v>302.8</v>
      </c>
      <c r="I94" s="59"/>
      <c r="J94" s="59"/>
      <c r="K94" s="59"/>
      <c r="L94" s="58">
        <f>L95</f>
        <v>0</v>
      </c>
      <c r="M94" s="59"/>
      <c r="N94" s="59"/>
      <c r="O94" s="57">
        <f>O95</f>
        <v>0</v>
      </c>
    </row>
    <row r="95" spans="1:15" s="1" customFormat="1" ht="30" customHeight="1">
      <c r="A95" s="175" t="s">
        <v>171</v>
      </c>
      <c r="B95" s="176"/>
      <c r="C95" s="177"/>
      <c r="D95" s="49" t="s">
        <v>38</v>
      </c>
      <c r="E95" s="171">
        <v>8204406</v>
      </c>
      <c r="F95" s="195"/>
      <c r="G95" s="30">
        <v>244</v>
      </c>
      <c r="H95" s="59">
        <v>302.8</v>
      </c>
      <c r="I95" s="59"/>
      <c r="J95" s="59"/>
      <c r="K95" s="59"/>
      <c r="L95" s="58">
        <v>0</v>
      </c>
      <c r="M95" s="59"/>
      <c r="N95" s="59"/>
      <c r="O95" s="57">
        <v>0</v>
      </c>
    </row>
    <row r="96" spans="1:15" s="1" customFormat="1" ht="43.5" customHeight="1">
      <c r="A96" s="283" t="s">
        <v>181</v>
      </c>
      <c r="B96" s="284"/>
      <c r="C96" s="285"/>
      <c r="D96" s="49" t="s">
        <v>38</v>
      </c>
      <c r="E96" s="171">
        <v>8207052</v>
      </c>
      <c r="F96" s="195"/>
      <c r="G96" s="30"/>
      <c r="H96" s="59">
        <f>H97</f>
        <v>20000</v>
      </c>
      <c r="I96" s="59"/>
      <c r="J96" s="59"/>
      <c r="K96" s="59"/>
      <c r="L96" s="58">
        <f>L97</f>
        <v>0</v>
      </c>
      <c r="M96" s="59"/>
      <c r="N96" s="59"/>
      <c r="O96" s="57">
        <f>O97</f>
        <v>0</v>
      </c>
    </row>
    <row r="97" spans="1:15" s="1" customFormat="1" ht="29.25" customHeight="1">
      <c r="A97" s="192" t="s">
        <v>12</v>
      </c>
      <c r="B97" s="192"/>
      <c r="C97" s="192"/>
      <c r="D97" s="49" t="s">
        <v>38</v>
      </c>
      <c r="E97" s="171">
        <v>8207052</v>
      </c>
      <c r="F97" s="195"/>
      <c r="G97" s="30">
        <v>240</v>
      </c>
      <c r="H97" s="59">
        <f>H98</f>
        <v>20000</v>
      </c>
      <c r="I97" s="59"/>
      <c r="J97" s="59"/>
      <c r="K97" s="59"/>
      <c r="L97" s="58">
        <f>L98</f>
        <v>0</v>
      </c>
      <c r="M97" s="59"/>
      <c r="N97" s="59"/>
      <c r="O97" s="57">
        <f>O98</f>
        <v>0</v>
      </c>
    </row>
    <row r="98" spans="1:15" s="1" customFormat="1" ht="29.25" customHeight="1">
      <c r="A98" s="175" t="s">
        <v>171</v>
      </c>
      <c r="B98" s="176"/>
      <c r="C98" s="177"/>
      <c r="D98" s="49" t="s">
        <v>38</v>
      </c>
      <c r="E98" s="171">
        <v>8207052</v>
      </c>
      <c r="F98" s="195"/>
      <c r="G98" s="30">
        <v>244</v>
      </c>
      <c r="H98" s="59">
        <v>20000</v>
      </c>
      <c r="I98" s="59"/>
      <c r="J98" s="59"/>
      <c r="K98" s="59"/>
      <c r="L98" s="58">
        <v>0</v>
      </c>
      <c r="M98" s="59"/>
      <c r="N98" s="59"/>
      <c r="O98" s="57">
        <v>0</v>
      </c>
    </row>
    <row r="99" spans="1:15" s="1" customFormat="1" ht="31.5" customHeight="1">
      <c r="A99" s="283" t="s">
        <v>182</v>
      </c>
      <c r="B99" s="284"/>
      <c r="C99" s="285"/>
      <c r="D99" s="49" t="s">
        <v>38</v>
      </c>
      <c r="E99" s="171">
        <v>9104406</v>
      </c>
      <c r="F99" s="195"/>
      <c r="G99" s="30"/>
      <c r="H99" s="59">
        <f>H100</f>
        <v>1681.9</v>
      </c>
      <c r="I99" s="59"/>
      <c r="J99" s="59"/>
      <c r="K99" s="59"/>
      <c r="L99" s="58">
        <f>L100</f>
        <v>0</v>
      </c>
      <c r="M99" s="59"/>
      <c r="N99" s="59"/>
      <c r="O99" s="57">
        <f>O100</f>
        <v>0</v>
      </c>
    </row>
    <row r="100" spans="1:15" s="1" customFormat="1" ht="31.5" customHeight="1">
      <c r="A100" s="192" t="s">
        <v>12</v>
      </c>
      <c r="B100" s="192"/>
      <c r="C100" s="192"/>
      <c r="D100" s="49" t="s">
        <v>38</v>
      </c>
      <c r="E100" s="171">
        <v>9104406</v>
      </c>
      <c r="F100" s="195"/>
      <c r="G100" s="30">
        <v>240</v>
      </c>
      <c r="H100" s="59">
        <f>H101</f>
        <v>1681.9</v>
      </c>
      <c r="I100" s="59"/>
      <c r="J100" s="59"/>
      <c r="K100" s="59"/>
      <c r="L100" s="58">
        <f>L101</f>
        <v>0</v>
      </c>
      <c r="M100" s="59"/>
      <c r="N100" s="59"/>
      <c r="O100" s="57">
        <f>O101</f>
        <v>0</v>
      </c>
    </row>
    <row r="101" spans="1:15" s="1" customFormat="1" ht="27" customHeight="1">
      <c r="A101" s="175" t="s">
        <v>171</v>
      </c>
      <c r="B101" s="176"/>
      <c r="C101" s="177"/>
      <c r="D101" s="49" t="s">
        <v>38</v>
      </c>
      <c r="E101" s="171">
        <v>9104406</v>
      </c>
      <c r="F101" s="195"/>
      <c r="G101" s="30">
        <v>244</v>
      </c>
      <c r="H101" s="59">
        <v>1681.9</v>
      </c>
      <c r="I101" s="59"/>
      <c r="J101" s="59"/>
      <c r="K101" s="59"/>
      <c r="L101" s="58">
        <v>0</v>
      </c>
      <c r="M101" s="59"/>
      <c r="N101" s="59"/>
      <c r="O101" s="57">
        <v>0</v>
      </c>
    </row>
    <row r="102" spans="1:15" s="1" customFormat="1" ht="27.75" customHeight="1">
      <c r="A102" s="268" t="s">
        <v>45</v>
      </c>
      <c r="B102" s="269"/>
      <c r="C102" s="269"/>
      <c r="D102" s="270" t="s">
        <v>44</v>
      </c>
      <c r="E102" s="271"/>
      <c r="F102" s="272"/>
      <c r="G102" s="174"/>
      <c r="H102" s="273">
        <f>H103</f>
        <v>7.5</v>
      </c>
      <c r="I102" s="274"/>
      <c r="J102" s="275"/>
      <c r="K102" s="276"/>
      <c r="L102" s="277">
        <v>0</v>
      </c>
      <c r="M102" s="278"/>
      <c r="N102" s="278"/>
      <c r="O102" s="279">
        <v>0</v>
      </c>
    </row>
    <row r="103" spans="1:15" s="1" customFormat="1" ht="27.75" customHeight="1">
      <c r="A103" s="259" t="s">
        <v>162</v>
      </c>
      <c r="B103" s="260"/>
      <c r="C103" s="260"/>
      <c r="D103" s="49" t="s">
        <v>44</v>
      </c>
      <c r="E103" s="157">
        <v>3380000</v>
      </c>
      <c r="F103" s="157"/>
      <c r="G103" s="42"/>
      <c r="H103" s="59">
        <f>H104+H107</f>
        <v>7.5</v>
      </c>
      <c r="I103" s="84"/>
      <c r="J103" s="84"/>
      <c r="K103" s="37"/>
      <c r="L103" s="55">
        <v>0</v>
      </c>
      <c r="M103" s="59"/>
      <c r="N103" s="59"/>
      <c r="O103" s="57">
        <v>0</v>
      </c>
    </row>
    <row r="104" spans="1:15" s="1" customFormat="1" ht="27.75" customHeight="1">
      <c r="A104" s="259" t="s">
        <v>163</v>
      </c>
      <c r="B104" s="260"/>
      <c r="C104" s="260"/>
      <c r="D104" s="49" t="s">
        <v>44</v>
      </c>
      <c r="E104" s="157">
        <v>3380001</v>
      </c>
      <c r="F104" s="157"/>
      <c r="G104" s="42"/>
      <c r="H104" s="59">
        <f>H105</f>
        <v>7.5</v>
      </c>
      <c r="I104" s="84"/>
      <c r="J104" s="84"/>
      <c r="K104" s="37"/>
      <c r="L104" s="55">
        <v>0</v>
      </c>
      <c r="M104" s="59"/>
      <c r="N104" s="59"/>
      <c r="O104" s="57">
        <v>0</v>
      </c>
    </row>
    <row r="105" spans="1:15" s="1" customFormat="1" ht="27.75" customHeight="1">
      <c r="A105" s="167" t="s">
        <v>12</v>
      </c>
      <c r="B105" s="168"/>
      <c r="C105" s="168"/>
      <c r="D105" s="49" t="s">
        <v>44</v>
      </c>
      <c r="E105" s="157">
        <v>3380001</v>
      </c>
      <c r="F105" s="157"/>
      <c r="G105" s="30">
        <v>240</v>
      </c>
      <c r="H105" s="59">
        <f>H106</f>
        <v>7.5</v>
      </c>
      <c r="I105" s="84"/>
      <c r="J105" s="84"/>
      <c r="K105" s="37"/>
      <c r="L105" s="55">
        <v>0</v>
      </c>
      <c r="M105" s="59"/>
      <c r="N105" s="59"/>
      <c r="O105" s="57">
        <v>0</v>
      </c>
    </row>
    <row r="106" spans="1:15" s="1" customFormat="1" ht="27.75" customHeight="1">
      <c r="A106" s="175" t="s">
        <v>171</v>
      </c>
      <c r="B106" s="176"/>
      <c r="C106" s="177"/>
      <c r="D106" s="49" t="s">
        <v>44</v>
      </c>
      <c r="E106" s="157">
        <v>3380001</v>
      </c>
      <c r="F106" s="157"/>
      <c r="G106" s="30">
        <v>244</v>
      </c>
      <c r="H106" s="59">
        <v>7.5</v>
      </c>
      <c r="I106" s="84"/>
      <c r="J106" s="84"/>
      <c r="K106" s="37"/>
      <c r="L106" s="55">
        <v>0</v>
      </c>
      <c r="M106" s="59"/>
      <c r="N106" s="59"/>
      <c r="O106" s="57">
        <v>0</v>
      </c>
    </row>
    <row r="107" spans="1:15" s="1" customFormat="1" ht="85.5" customHeight="1">
      <c r="A107" s="167" t="s">
        <v>164</v>
      </c>
      <c r="B107" s="168"/>
      <c r="C107" s="168"/>
      <c r="D107" s="49" t="s">
        <v>44</v>
      </c>
      <c r="E107" s="157">
        <v>3389504</v>
      </c>
      <c r="F107" s="157"/>
      <c r="G107" s="129"/>
      <c r="H107" s="108">
        <f>H108</f>
        <v>0</v>
      </c>
      <c r="I107" s="130"/>
      <c r="J107" s="130"/>
      <c r="K107" s="46"/>
      <c r="L107" s="110">
        <v>0</v>
      </c>
      <c r="M107" s="59"/>
      <c r="N107" s="59"/>
      <c r="O107" s="57">
        <v>0</v>
      </c>
    </row>
    <row r="108" spans="1:15" s="1" customFormat="1" ht="27.75" customHeight="1">
      <c r="A108" s="167" t="s">
        <v>12</v>
      </c>
      <c r="B108" s="168"/>
      <c r="C108" s="168"/>
      <c r="D108" s="49" t="s">
        <v>44</v>
      </c>
      <c r="E108" s="157">
        <v>3389504</v>
      </c>
      <c r="F108" s="157"/>
      <c r="G108" s="30">
        <v>240</v>
      </c>
      <c r="H108" s="59">
        <f>H109</f>
        <v>0</v>
      </c>
      <c r="I108" s="59"/>
      <c r="J108" s="59"/>
      <c r="K108" s="59"/>
      <c r="L108" s="58">
        <v>0</v>
      </c>
      <c r="M108" s="59"/>
      <c r="N108" s="59"/>
      <c r="O108" s="57">
        <v>0</v>
      </c>
    </row>
    <row r="109" spans="1:15" s="1" customFormat="1" ht="27.75" customHeight="1">
      <c r="A109" s="175" t="s">
        <v>171</v>
      </c>
      <c r="B109" s="176"/>
      <c r="C109" s="177"/>
      <c r="D109" s="49" t="s">
        <v>44</v>
      </c>
      <c r="E109" s="157">
        <v>3389504</v>
      </c>
      <c r="F109" s="157"/>
      <c r="G109" s="30">
        <v>244</v>
      </c>
      <c r="H109" s="59">
        <v>0</v>
      </c>
      <c r="I109" s="59"/>
      <c r="J109" s="59"/>
      <c r="K109" s="59"/>
      <c r="L109" s="58">
        <v>0</v>
      </c>
      <c r="M109" s="59"/>
      <c r="N109" s="59"/>
      <c r="O109" s="57">
        <v>0</v>
      </c>
    </row>
    <row r="110" spans="1:15" s="1" customFormat="1" ht="30.75" customHeight="1">
      <c r="A110" s="151" t="s">
        <v>135</v>
      </c>
      <c r="B110" s="151"/>
      <c r="C110" s="151"/>
      <c r="D110" s="64" t="s">
        <v>136</v>
      </c>
      <c r="E110" s="136"/>
      <c r="F110" s="136"/>
      <c r="G110" s="64"/>
      <c r="H110" s="91">
        <f>H111+H129+H137</f>
        <v>55889.4</v>
      </c>
      <c r="I110" s="221">
        <f>I111+I129+I137</f>
        <v>36857000</v>
      </c>
      <c r="J110" s="222"/>
      <c r="K110" s="223"/>
      <c r="L110" s="131">
        <f>I110/1000</f>
        <v>36857</v>
      </c>
      <c r="M110" s="162">
        <f>M111+M129+M137</f>
        <v>36243000</v>
      </c>
      <c r="N110" s="162"/>
      <c r="O110" s="90">
        <f>M110/1000</f>
        <v>36243</v>
      </c>
    </row>
    <row r="111" spans="1:15" s="1" customFormat="1" ht="22.5" customHeight="1">
      <c r="A111" s="183" t="s">
        <v>51</v>
      </c>
      <c r="B111" s="183"/>
      <c r="C111" s="183"/>
      <c r="D111" s="15" t="s">
        <v>50</v>
      </c>
      <c r="E111" s="188"/>
      <c r="F111" s="188"/>
      <c r="G111" s="15"/>
      <c r="H111" s="66">
        <f>H112+H117+H120+H123+H126</f>
        <v>26375</v>
      </c>
      <c r="I111" s="141">
        <f>13414000</f>
        <v>13414000</v>
      </c>
      <c r="J111" s="142"/>
      <c r="K111" s="143"/>
      <c r="L111" s="51">
        <f>I111/1000</f>
        <v>13414</v>
      </c>
      <c r="M111" s="220">
        <f>6000000</f>
        <v>6000000</v>
      </c>
      <c r="N111" s="220"/>
      <c r="O111" s="54">
        <f>M111/1000</f>
        <v>6000</v>
      </c>
    </row>
    <row r="112" spans="1:16" s="1" customFormat="1" ht="22.5" customHeight="1">
      <c r="A112" s="181" t="s">
        <v>55</v>
      </c>
      <c r="B112" s="181"/>
      <c r="C112" s="181"/>
      <c r="D112" s="17" t="s">
        <v>50</v>
      </c>
      <c r="E112" s="187" t="s">
        <v>54</v>
      </c>
      <c r="F112" s="187"/>
      <c r="G112" s="18"/>
      <c r="H112" s="37">
        <f>H113+H116</f>
        <v>5207.2</v>
      </c>
      <c r="I112" s="153">
        <f>5775500</f>
        <v>5775500</v>
      </c>
      <c r="J112" s="132"/>
      <c r="K112" s="133"/>
      <c r="L112" s="55">
        <f>I112/1000</f>
        <v>5775.5</v>
      </c>
      <c r="M112" s="134">
        <f>6000000</f>
        <v>6000000</v>
      </c>
      <c r="N112" s="134"/>
      <c r="O112" s="57">
        <f>M112/1000</f>
        <v>6000</v>
      </c>
      <c r="P112" s="28"/>
    </row>
    <row r="113" spans="1:15" s="1" customFormat="1" ht="34.5" customHeight="1">
      <c r="A113" s="181" t="s">
        <v>12</v>
      </c>
      <c r="B113" s="181"/>
      <c r="C113" s="181"/>
      <c r="D113" s="21" t="s">
        <v>50</v>
      </c>
      <c r="E113" s="187" t="s">
        <v>54</v>
      </c>
      <c r="F113" s="187"/>
      <c r="G113" s="17" t="s">
        <v>11</v>
      </c>
      <c r="H113" s="37">
        <f>H114+H115</f>
        <v>3974.5</v>
      </c>
      <c r="I113" s="153">
        <f>5075500</f>
        <v>5075500</v>
      </c>
      <c r="J113" s="132"/>
      <c r="K113" s="133"/>
      <c r="L113" s="55">
        <f>I113/1000</f>
        <v>5075.5</v>
      </c>
      <c r="M113" s="134">
        <f>5300000</f>
        <v>5300000</v>
      </c>
      <c r="N113" s="134"/>
      <c r="O113" s="57">
        <f>M113/1000</f>
        <v>5300</v>
      </c>
    </row>
    <row r="114" spans="1:15" s="1" customFormat="1" ht="34.5" customHeight="1">
      <c r="A114" s="175" t="s">
        <v>174</v>
      </c>
      <c r="B114" s="176"/>
      <c r="C114" s="177"/>
      <c r="D114" s="21" t="s">
        <v>50</v>
      </c>
      <c r="E114" s="187" t="s">
        <v>54</v>
      </c>
      <c r="F114" s="187"/>
      <c r="G114" s="17">
        <v>243</v>
      </c>
      <c r="H114" s="37">
        <v>3488.2</v>
      </c>
      <c r="I114" s="83"/>
      <c r="J114" s="84"/>
      <c r="K114" s="37"/>
      <c r="L114" s="55">
        <v>4604.7</v>
      </c>
      <c r="M114" s="59"/>
      <c r="N114" s="59"/>
      <c r="O114" s="57">
        <v>4818.5</v>
      </c>
    </row>
    <row r="115" spans="1:15" s="1" customFormat="1" ht="33" customHeight="1">
      <c r="A115" s="175" t="s">
        <v>171</v>
      </c>
      <c r="B115" s="176"/>
      <c r="C115" s="177"/>
      <c r="D115" s="21" t="s">
        <v>50</v>
      </c>
      <c r="E115" s="187" t="s">
        <v>54</v>
      </c>
      <c r="F115" s="187"/>
      <c r="G115" s="17">
        <v>244</v>
      </c>
      <c r="H115" s="37">
        <v>486.3</v>
      </c>
      <c r="I115" s="83"/>
      <c r="J115" s="84"/>
      <c r="K115" s="37"/>
      <c r="L115" s="55">
        <f>L113-L114</f>
        <v>470.8000000000002</v>
      </c>
      <c r="M115" s="59"/>
      <c r="N115" s="59"/>
      <c r="O115" s="57">
        <f>O113-O114</f>
        <v>481.5</v>
      </c>
    </row>
    <row r="116" spans="1:15" s="1" customFormat="1" ht="99" customHeight="1">
      <c r="A116" s="181" t="s">
        <v>57</v>
      </c>
      <c r="B116" s="181"/>
      <c r="C116" s="175"/>
      <c r="D116" s="30" t="s">
        <v>50</v>
      </c>
      <c r="E116" s="217" t="s">
        <v>54</v>
      </c>
      <c r="F116" s="190"/>
      <c r="G116" s="17" t="s">
        <v>56</v>
      </c>
      <c r="H116" s="37">
        <v>1232.7</v>
      </c>
      <c r="I116" s="153">
        <f>700000</f>
        <v>700000</v>
      </c>
      <c r="J116" s="132"/>
      <c r="K116" s="133"/>
      <c r="L116" s="55">
        <f>I116/1000</f>
        <v>700</v>
      </c>
      <c r="M116" s="134">
        <f>700000</f>
        <v>700000</v>
      </c>
      <c r="N116" s="134"/>
      <c r="O116" s="57">
        <f>M116/1000</f>
        <v>700</v>
      </c>
    </row>
    <row r="117" spans="1:15" s="1" customFormat="1" ht="38.25" customHeight="1">
      <c r="A117" s="167" t="s">
        <v>165</v>
      </c>
      <c r="B117" s="168"/>
      <c r="C117" s="168"/>
      <c r="D117" s="65" t="s">
        <v>50</v>
      </c>
      <c r="E117" s="194">
        <v>3500400</v>
      </c>
      <c r="F117" s="195"/>
      <c r="G117" s="35"/>
      <c r="H117" s="37">
        <f>H118</f>
        <v>1050</v>
      </c>
      <c r="I117" s="83"/>
      <c r="J117" s="84"/>
      <c r="K117" s="37"/>
      <c r="L117" s="55">
        <v>0</v>
      </c>
      <c r="M117" s="59"/>
      <c r="N117" s="59"/>
      <c r="O117" s="57">
        <v>0</v>
      </c>
    </row>
    <row r="118" spans="1:15" s="1" customFormat="1" ht="38.25" customHeight="1">
      <c r="A118" s="181" t="s">
        <v>12</v>
      </c>
      <c r="B118" s="181"/>
      <c r="C118" s="175"/>
      <c r="D118" s="30" t="s">
        <v>50</v>
      </c>
      <c r="E118" s="195">
        <v>3500400</v>
      </c>
      <c r="F118" s="157"/>
      <c r="G118" s="35">
        <v>240</v>
      </c>
      <c r="H118" s="37">
        <f>H119</f>
        <v>1050</v>
      </c>
      <c r="I118" s="83"/>
      <c r="J118" s="84"/>
      <c r="K118" s="37"/>
      <c r="L118" s="55">
        <v>0</v>
      </c>
      <c r="M118" s="59"/>
      <c r="N118" s="59"/>
      <c r="O118" s="57">
        <v>0</v>
      </c>
    </row>
    <row r="119" spans="1:15" s="1" customFormat="1" ht="38.25" customHeight="1">
      <c r="A119" s="175" t="s">
        <v>171</v>
      </c>
      <c r="B119" s="176"/>
      <c r="C119" s="176"/>
      <c r="D119" s="30" t="s">
        <v>50</v>
      </c>
      <c r="E119" s="196">
        <v>3500400</v>
      </c>
      <c r="F119" s="197"/>
      <c r="G119" s="35">
        <v>244</v>
      </c>
      <c r="H119" s="37">
        <v>1050</v>
      </c>
      <c r="I119" s="83"/>
      <c r="J119" s="84"/>
      <c r="K119" s="37"/>
      <c r="L119" s="55">
        <v>0</v>
      </c>
      <c r="M119" s="59"/>
      <c r="N119" s="59"/>
      <c r="O119" s="57">
        <v>0</v>
      </c>
    </row>
    <row r="120" spans="1:15" s="1" customFormat="1" ht="33" customHeight="1">
      <c r="A120" s="167" t="s">
        <v>166</v>
      </c>
      <c r="B120" s="168"/>
      <c r="C120" s="168"/>
      <c r="D120" s="30" t="s">
        <v>50</v>
      </c>
      <c r="E120" s="171">
        <v>3509601</v>
      </c>
      <c r="F120" s="195"/>
      <c r="G120" s="35"/>
      <c r="H120" s="37">
        <f>H121</f>
        <v>1026.3</v>
      </c>
      <c r="I120" s="83"/>
      <c r="J120" s="84"/>
      <c r="K120" s="37"/>
      <c r="L120" s="55">
        <v>0</v>
      </c>
      <c r="M120" s="59"/>
      <c r="N120" s="59"/>
      <c r="O120" s="57">
        <v>0</v>
      </c>
    </row>
    <row r="121" spans="1:15" s="1" customFormat="1" ht="30.75" customHeight="1">
      <c r="A121" s="181" t="s">
        <v>12</v>
      </c>
      <c r="B121" s="181"/>
      <c r="C121" s="181"/>
      <c r="D121" s="41" t="s">
        <v>50</v>
      </c>
      <c r="E121" s="218">
        <v>3509601</v>
      </c>
      <c r="F121" s="219"/>
      <c r="G121" s="17">
        <v>240</v>
      </c>
      <c r="H121" s="37">
        <f>H122</f>
        <v>1026.3</v>
      </c>
      <c r="I121" s="83"/>
      <c r="J121" s="84"/>
      <c r="K121" s="37"/>
      <c r="L121" s="55">
        <v>0</v>
      </c>
      <c r="M121" s="59"/>
      <c r="N121" s="59"/>
      <c r="O121" s="57">
        <v>0</v>
      </c>
    </row>
    <row r="122" spans="1:15" s="1" customFormat="1" ht="30.75" customHeight="1">
      <c r="A122" s="175" t="s">
        <v>174</v>
      </c>
      <c r="B122" s="176"/>
      <c r="C122" s="177"/>
      <c r="D122" s="41" t="s">
        <v>50</v>
      </c>
      <c r="E122" s="218">
        <v>3509601</v>
      </c>
      <c r="F122" s="219"/>
      <c r="G122" s="17">
        <v>243</v>
      </c>
      <c r="H122" s="37">
        <v>1026.3</v>
      </c>
      <c r="I122" s="83"/>
      <c r="J122" s="84"/>
      <c r="K122" s="37"/>
      <c r="L122" s="55">
        <v>0</v>
      </c>
      <c r="M122" s="59"/>
      <c r="N122" s="59"/>
      <c r="O122" s="57">
        <v>0</v>
      </c>
    </row>
    <row r="123" spans="1:15" s="1" customFormat="1" ht="46.5" customHeight="1">
      <c r="A123" s="181" t="s">
        <v>183</v>
      </c>
      <c r="B123" s="181"/>
      <c r="C123" s="181"/>
      <c r="D123" s="17" t="s">
        <v>50</v>
      </c>
      <c r="E123" s="187">
        <v>7959602</v>
      </c>
      <c r="F123" s="187"/>
      <c r="G123" s="18"/>
      <c r="H123" s="37">
        <f>H124</f>
        <v>10751.5</v>
      </c>
      <c r="I123" s="153">
        <f>3455700</f>
        <v>3455700</v>
      </c>
      <c r="J123" s="132"/>
      <c r="K123" s="133"/>
      <c r="L123" s="55">
        <f aca="true" t="shared" si="3" ref="L123:L133">I123/1000</f>
        <v>3455.7</v>
      </c>
      <c r="M123" s="134"/>
      <c r="N123" s="134"/>
      <c r="O123" s="57">
        <v>0</v>
      </c>
    </row>
    <row r="124" spans="1:15" s="1" customFormat="1" ht="23.25" customHeight="1">
      <c r="A124" s="181" t="s">
        <v>53</v>
      </c>
      <c r="B124" s="181"/>
      <c r="C124" s="181"/>
      <c r="D124" s="17" t="s">
        <v>50</v>
      </c>
      <c r="E124" s="187">
        <v>7959602</v>
      </c>
      <c r="F124" s="187"/>
      <c r="G124" s="17" t="s">
        <v>52</v>
      </c>
      <c r="H124" s="37">
        <f>H125</f>
        <v>10751.5</v>
      </c>
      <c r="I124" s="153">
        <f>3455700</f>
        <v>3455700</v>
      </c>
      <c r="J124" s="132"/>
      <c r="K124" s="133"/>
      <c r="L124" s="55">
        <f t="shared" si="3"/>
        <v>3455.7</v>
      </c>
      <c r="M124" s="134"/>
      <c r="N124" s="134"/>
      <c r="O124" s="57">
        <v>0</v>
      </c>
    </row>
    <row r="125" spans="1:15" s="1" customFormat="1" ht="39" customHeight="1">
      <c r="A125" s="175" t="s">
        <v>173</v>
      </c>
      <c r="B125" s="176"/>
      <c r="C125" s="177"/>
      <c r="D125" s="17" t="s">
        <v>50</v>
      </c>
      <c r="E125" s="187">
        <v>7959602</v>
      </c>
      <c r="F125" s="187"/>
      <c r="G125" s="17">
        <v>414</v>
      </c>
      <c r="H125" s="37">
        <v>10751.5</v>
      </c>
      <c r="I125" s="83"/>
      <c r="J125" s="84"/>
      <c r="K125" s="37"/>
      <c r="L125" s="55">
        <v>3455.7</v>
      </c>
      <c r="M125" s="106"/>
      <c r="N125" s="106"/>
      <c r="O125" s="57">
        <v>0</v>
      </c>
    </row>
    <row r="126" spans="1:15" s="1" customFormat="1" ht="60" customHeight="1">
      <c r="A126" s="181" t="s">
        <v>184</v>
      </c>
      <c r="B126" s="181"/>
      <c r="C126" s="181"/>
      <c r="D126" s="17" t="s">
        <v>50</v>
      </c>
      <c r="E126" s="187">
        <v>7959603</v>
      </c>
      <c r="F126" s="187"/>
      <c r="G126" s="18"/>
      <c r="H126" s="37">
        <f>H127</f>
        <v>8340</v>
      </c>
      <c r="I126" s="153">
        <f>4182800</f>
        <v>4182800</v>
      </c>
      <c r="J126" s="132"/>
      <c r="K126" s="133"/>
      <c r="L126" s="55">
        <f t="shared" si="3"/>
        <v>4182.8</v>
      </c>
      <c r="M126" s="215"/>
      <c r="N126" s="216"/>
      <c r="O126" s="57">
        <v>0</v>
      </c>
    </row>
    <row r="127" spans="1:15" s="1" customFormat="1" ht="24" customHeight="1">
      <c r="A127" s="181" t="s">
        <v>53</v>
      </c>
      <c r="B127" s="181"/>
      <c r="C127" s="181"/>
      <c r="D127" s="17" t="s">
        <v>50</v>
      </c>
      <c r="E127" s="187">
        <v>7959603</v>
      </c>
      <c r="F127" s="187"/>
      <c r="G127" s="17" t="s">
        <v>52</v>
      </c>
      <c r="H127" s="37">
        <f>H128</f>
        <v>8340</v>
      </c>
      <c r="I127" s="153">
        <f>4182800</f>
        <v>4182800</v>
      </c>
      <c r="J127" s="132"/>
      <c r="K127" s="133"/>
      <c r="L127" s="55">
        <f t="shared" si="3"/>
        <v>4182.8</v>
      </c>
      <c r="M127" s="137"/>
      <c r="N127" s="138"/>
      <c r="O127" s="57">
        <v>0</v>
      </c>
    </row>
    <row r="128" spans="1:15" s="1" customFormat="1" ht="39" customHeight="1">
      <c r="A128" s="175" t="s">
        <v>173</v>
      </c>
      <c r="B128" s="176"/>
      <c r="C128" s="177"/>
      <c r="D128" s="17" t="s">
        <v>50</v>
      </c>
      <c r="E128" s="187">
        <v>7959603</v>
      </c>
      <c r="F128" s="187"/>
      <c r="G128" s="17">
        <v>414</v>
      </c>
      <c r="H128" s="37">
        <v>8340</v>
      </c>
      <c r="I128" s="83"/>
      <c r="J128" s="84"/>
      <c r="K128" s="37"/>
      <c r="L128" s="55">
        <v>4182.8</v>
      </c>
      <c r="M128" s="56"/>
      <c r="N128" s="47"/>
      <c r="O128" s="57">
        <v>0</v>
      </c>
    </row>
    <row r="129" spans="1:15" s="9" customFormat="1" ht="22.5" customHeight="1">
      <c r="A129" s="183" t="s">
        <v>59</v>
      </c>
      <c r="B129" s="183"/>
      <c r="C129" s="183"/>
      <c r="D129" s="19" t="s">
        <v>58</v>
      </c>
      <c r="E129" s="188"/>
      <c r="F129" s="188"/>
      <c r="G129" s="15"/>
      <c r="H129" s="66">
        <f>H130+H134</f>
        <v>10012</v>
      </c>
      <c r="I129" s="141">
        <f>9143000</f>
        <v>9143000</v>
      </c>
      <c r="J129" s="142"/>
      <c r="K129" s="143"/>
      <c r="L129" s="51">
        <f t="shared" si="3"/>
        <v>9143</v>
      </c>
      <c r="M129" s="139">
        <f>11343000</f>
        <v>11343000</v>
      </c>
      <c r="N129" s="140"/>
      <c r="O129" s="92">
        <f>M129/1000</f>
        <v>11343</v>
      </c>
    </row>
    <row r="130" spans="1:15" s="1" customFormat="1" ht="30.75" customHeight="1">
      <c r="A130" s="181" t="s">
        <v>60</v>
      </c>
      <c r="B130" s="181"/>
      <c r="C130" s="181"/>
      <c r="D130" s="17" t="s">
        <v>58</v>
      </c>
      <c r="E130" s="187">
        <v>3601000</v>
      </c>
      <c r="F130" s="187"/>
      <c r="G130" s="18"/>
      <c r="H130" s="37">
        <f>H131+H133</f>
        <v>10012</v>
      </c>
      <c r="I130" s="153">
        <f>9143000</f>
        <v>9143000</v>
      </c>
      <c r="J130" s="132"/>
      <c r="K130" s="133"/>
      <c r="L130" s="55">
        <f t="shared" si="3"/>
        <v>9143</v>
      </c>
      <c r="M130" s="137">
        <f>9143000</f>
        <v>9143000</v>
      </c>
      <c r="N130" s="138"/>
      <c r="O130" s="57">
        <f>M130/1000</f>
        <v>9143</v>
      </c>
    </row>
    <row r="131" spans="1:15" s="1" customFormat="1" ht="45" customHeight="1">
      <c r="A131" s="181" t="s">
        <v>12</v>
      </c>
      <c r="B131" s="181"/>
      <c r="C131" s="181"/>
      <c r="D131" s="17" t="s">
        <v>58</v>
      </c>
      <c r="E131" s="187">
        <v>3601000</v>
      </c>
      <c r="F131" s="187"/>
      <c r="G131" s="17" t="s">
        <v>11</v>
      </c>
      <c r="H131" s="37">
        <f>H132</f>
        <v>8012</v>
      </c>
      <c r="I131" s="153">
        <f>7143000</f>
        <v>7143000</v>
      </c>
      <c r="J131" s="132"/>
      <c r="K131" s="133"/>
      <c r="L131" s="55">
        <f t="shared" si="3"/>
        <v>7143</v>
      </c>
      <c r="M131" s="137">
        <f>7143000</f>
        <v>7143000</v>
      </c>
      <c r="N131" s="138"/>
      <c r="O131" s="57">
        <f>M131/1000</f>
        <v>7143</v>
      </c>
    </row>
    <row r="132" spans="1:15" s="1" customFormat="1" ht="45" customHeight="1">
      <c r="A132" s="175" t="s">
        <v>174</v>
      </c>
      <c r="B132" s="176"/>
      <c r="C132" s="177"/>
      <c r="D132" s="17" t="s">
        <v>58</v>
      </c>
      <c r="E132" s="187">
        <v>3601000</v>
      </c>
      <c r="F132" s="187"/>
      <c r="G132" s="17">
        <v>243</v>
      </c>
      <c r="H132" s="37">
        <v>8012</v>
      </c>
      <c r="I132" s="83"/>
      <c r="J132" s="84"/>
      <c r="K132" s="37"/>
      <c r="L132" s="55">
        <v>7143</v>
      </c>
      <c r="M132" s="56"/>
      <c r="N132" s="47"/>
      <c r="O132" s="57">
        <v>7143</v>
      </c>
    </row>
    <row r="133" spans="1:15" s="1" customFormat="1" ht="57.75" customHeight="1">
      <c r="A133" s="181" t="s">
        <v>62</v>
      </c>
      <c r="B133" s="181"/>
      <c r="C133" s="181"/>
      <c r="D133" s="17" t="s">
        <v>58</v>
      </c>
      <c r="E133" s="187">
        <v>3602000</v>
      </c>
      <c r="F133" s="187"/>
      <c r="G133" s="17" t="s">
        <v>61</v>
      </c>
      <c r="H133" s="37">
        <v>2000</v>
      </c>
      <c r="I133" s="153">
        <f>2000000</f>
        <v>2000000</v>
      </c>
      <c r="J133" s="132"/>
      <c r="K133" s="133"/>
      <c r="L133" s="55">
        <f t="shared" si="3"/>
        <v>2000</v>
      </c>
      <c r="M133" s="137">
        <f>2000000</f>
        <v>2000000</v>
      </c>
      <c r="N133" s="138"/>
      <c r="O133" s="57">
        <f>M133/1000</f>
        <v>2000</v>
      </c>
    </row>
    <row r="134" spans="1:15" s="1" customFormat="1" ht="60.75" customHeight="1">
      <c r="A134" s="181" t="s">
        <v>63</v>
      </c>
      <c r="B134" s="181"/>
      <c r="C134" s="181"/>
      <c r="D134" s="17" t="s">
        <v>58</v>
      </c>
      <c r="E134" s="187">
        <v>3607000</v>
      </c>
      <c r="F134" s="187"/>
      <c r="G134" s="18"/>
      <c r="H134" s="37">
        <f>H135</f>
        <v>0</v>
      </c>
      <c r="I134" s="153"/>
      <c r="J134" s="132"/>
      <c r="K134" s="133"/>
      <c r="L134" s="55">
        <v>0</v>
      </c>
      <c r="M134" s="137">
        <f>2200000</f>
        <v>2200000</v>
      </c>
      <c r="N134" s="138"/>
      <c r="O134" s="57">
        <f>M134/1000</f>
        <v>2200</v>
      </c>
    </row>
    <row r="135" spans="1:15" s="1" customFormat="1" ht="47.25" customHeight="1">
      <c r="A135" s="181" t="s">
        <v>12</v>
      </c>
      <c r="B135" s="181"/>
      <c r="C135" s="181"/>
      <c r="D135" s="17" t="s">
        <v>58</v>
      </c>
      <c r="E135" s="187">
        <v>3607000</v>
      </c>
      <c r="F135" s="187"/>
      <c r="G135" s="17" t="s">
        <v>11</v>
      </c>
      <c r="H135" s="37">
        <f>H136</f>
        <v>0</v>
      </c>
      <c r="I135" s="153"/>
      <c r="J135" s="132"/>
      <c r="K135" s="133"/>
      <c r="L135" s="55">
        <v>0</v>
      </c>
      <c r="M135" s="137">
        <f>2200000</f>
        <v>2200000</v>
      </c>
      <c r="N135" s="138"/>
      <c r="O135" s="57">
        <f>M135/1000</f>
        <v>2200</v>
      </c>
    </row>
    <row r="136" spans="1:15" s="1" customFormat="1" ht="47.25" customHeight="1">
      <c r="A136" s="175" t="s">
        <v>171</v>
      </c>
      <c r="B136" s="176"/>
      <c r="C136" s="177"/>
      <c r="D136" s="17" t="s">
        <v>58</v>
      </c>
      <c r="E136" s="187">
        <v>3607000</v>
      </c>
      <c r="F136" s="187"/>
      <c r="G136" s="17">
        <v>244</v>
      </c>
      <c r="H136" s="37">
        <v>0</v>
      </c>
      <c r="I136" s="83"/>
      <c r="J136" s="84"/>
      <c r="K136" s="37"/>
      <c r="L136" s="55">
        <v>0</v>
      </c>
      <c r="M136" s="56"/>
      <c r="N136" s="47"/>
      <c r="O136" s="57">
        <v>2200</v>
      </c>
    </row>
    <row r="137" spans="1:15" s="1" customFormat="1" ht="26.25" customHeight="1">
      <c r="A137" s="183" t="s">
        <v>65</v>
      </c>
      <c r="B137" s="183"/>
      <c r="C137" s="183"/>
      <c r="D137" s="19" t="s">
        <v>64</v>
      </c>
      <c r="E137" s="188"/>
      <c r="F137" s="188"/>
      <c r="G137" s="15"/>
      <c r="H137" s="66">
        <f>H138+H141+H144+H147+H152+H155+H158</f>
        <v>19502.4</v>
      </c>
      <c r="I137" s="141">
        <f>14300000</f>
        <v>14300000</v>
      </c>
      <c r="J137" s="142"/>
      <c r="K137" s="143"/>
      <c r="L137" s="51">
        <f aca="true" t="shared" si="4" ref="L137:L148">I137/1000</f>
        <v>14300</v>
      </c>
      <c r="M137" s="139">
        <f>18900000</f>
        <v>18900000</v>
      </c>
      <c r="N137" s="140"/>
      <c r="O137" s="54">
        <f>M137/1000</f>
        <v>18900</v>
      </c>
    </row>
    <row r="138" spans="1:15" s="1" customFormat="1" ht="24" customHeight="1">
      <c r="A138" s="181" t="s">
        <v>67</v>
      </c>
      <c r="B138" s="181"/>
      <c r="C138" s="181"/>
      <c r="D138" s="17" t="s">
        <v>64</v>
      </c>
      <c r="E138" s="187" t="s">
        <v>66</v>
      </c>
      <c r="F138" s="187"/>
      <c r="G138" s="18"/>
      <c r="H138" s="37">
        <f>H139</f>
        <v>9200</v>
      </c>
      <c r="I138" s="153">
        <f>9200000</f>
        <v>9200000</v>
      </c>
      <c r="J138" s="132"/>
      <c r="K138" s="133"/>
      <c r="L138" s="55">
        <f t="shared" si="4"/>
        <v>9200</v>
      </c>
      <c r="M138" s="137">
        <f>9400000</f>
        <v>9400000</v>
      </c>
      <c r="N138" s="138"/>
      <c r="O138" s="57">
        <f>M138/1000</f>
        <v>9400</v>
      </c>
    </row>
    <row r="139" spans="1:15" s="1" customFormat="1" ht="41.25" customHeight="1">
      <c r="A139" s="181" t="s">
        <v>12</v>
      </c>
      <c r="B139" s="181"/>
      <c r="C139" s="181"/>
      <c r="D139" s="17" t="s">
        <v>64</v>
      </c>
      <c r="E139" s="187" t="s">
        <v>66</v>
      </c>
      <c r="F139" s="187"/>
      <c r="G139" s="17" t="s">
        <v>11</v>
      </c>
      <c r="H139" s="37">
        <f>H140</f>
        <v>9200</v>
      </c>
      <c r="I139" s="153">
        <f>9200000</f>
        <v>9200000</v>
      </c>
      <c r="J139" s="132"/>
      <c r="K139" s="133"/>
      <c r="L139" s="55">
        <f t="shared" si="4"/>
        <v>9200</v>
      </c>
      <c r="M139" s="137">
        <f>9400000</f>
        <v>9400000</v>
      </c>
      <c r="N139" s="138"/>
      <c r="O139" s="57">
        <f>M139/1000</f>
        <v>9400</v>
      </c>
    </row>
    <row r="140" spans="1:15" s="1" customFormat="1" ht="41.25" customHeight="1">
      <c r="A140" s="175" t="s">
        <v>171</v>
      </c>
      <c r="B140" s="176"/>
      <c r="C140" s="177"/>
      <c r="D140" s="17" t="s">
        <v>64</v>
      </c>
      <c r="E140" s="187" t="s">
        <v>66</v>
      </c>
      <c r="F140" s="187"/>
      <c r="G140" s="17">
        <v>244</v>
      </c>
      <c r="H140" s="37">
        <v>9200</v>
      </c>
      <c r="I140" s="83"/>
      <c r="J140" s="84"/>
      <c r="K140" s="37"/>
      <c r="L140" s="55">
        <v>9200</v>
      </c>
      <c r="M140" s="56"/>
      <c r="N140" s="47"/>
      <c r="O140" s="57">
        <v>9400</v>
      </c>
    </row>
    <row r="141" spans="1:15" s="1" customFormat="1" ht="22.5" customHeight="1">
      <c r="A141" s="181" t="s">
        <v>69</v>
      </c>
      <c r="B141" s="181"/>
      <c r="C141" s="181"/>
      <c r="D141" s="17" t="s">
        <v>64</v>
      </c>
      <c r="E141" s="187" t="s">
        <v>68</v>
      </c>
      <c r="F141" s="187"/>
      <c r="G141" s="18"/>
      <c r="H141" s="37">
        <f>H142</f>
        <v>800</v>
      </c>
      <c r="I141" s="153">
        <f>900000</f>
        <v>900000</v>
      </c>
      <c r="J141" s="132"/>
      <c r="K141" s="133"/>
      <c r="L141" s="55">
        <f t="shared" si="4"/>
        <v>900</v>
      </c>
      <c r="M141" s="137">
        <f>900000</f>
        <v>900000</v>
      </c>
      <c r="N141" s="138"/>
      <c r="O141" s="57">
        <f>M141/1000</f>
        <v>900</v>
      </c>
    </row>
    <row r="142" spans="1:15" s="1" customFormat="1" ht="42.75" customHeight="1">
      <c r="A142" s="181" t="s">
        <v>12</v>
      </c>
      <c r="B142" s="181"/>
      <c r="C142" s="181"/>
      <c r="D142" s="17" t="s">
        <v>64</v>
      </c>
      <c r="E142" s="187" t="s">
        <v>68</v>
      </c>
      <c r="F142" s="187"/>
      <c r="G142" s="17" t="s">
        <v>11</v>
      </c>
      <c r="H142" s="37">
        <f>H143</f>
        <v>800</v>
      </c>
      <c r="I142" s="153">
        <f>900000</f>
        <v>900000</v>
      </c>
      <c r="J142" s="132"/>
      <c r="K142" s="133"/>
      <c r="L142" s="55">
        <f t="shared" si="4"/>
        <v>900</v>
      </c>
      <c r="M142" s="137">
        <f>900000</f>
        <v>900000</v>
      </c>
      <c r="N142" s="138"/>
      <c r="O142" s="57">
        <f>M142/1000</f>
        <v>900</v>
      </c>
    </row>
    <row r="143" spans="1:15" s="1" customFormat="1" ht="42.75" customHeight="1">
      <c r="A143" s="175" t="s">
        <v>171</v>
      </c>
      <c r="B143" s="176"/>
      <c r="C143" s="177"/>
      <c r="D143" s="17" t="s">
        <v>64</v>
      </c>
      <c r="E143" s="187" t="s">
        <v>68</v>
      </c>
      <c r="F143" s="187"/>
      <c r="G143" s="17">
        <v>244</v>
      </c>
      <c r="H143" s="37">
        <v>800</v>
      </c>
      <c r="I143" s="83"/>
      <c r="J143" s="84"/>
      <c r="K143" s="37"/>
      <c r="L143" s="55">
        <v>900</v>
      </c>
      <c r="M143" s="56"/>
      <c r="N143" s="47"/>
      <c r="O143" s="57">
        <v>900</v>
      </c>
    </row>
    <row r="144" spans="1:15" s="1" customFormat="1" ht="30" customHeight="1">
      <c r="A144" s="181" t="s">
        <v>71</v>
      </c>
      <c r="B144" s="181"/>
      <c r="C144" s="181"/>
      <c r="D144" s="17" t="s">
        <v>64</v>
      </c>
      <c r="E144" s="187" t="s">
        <v>70</v>
      </c>
      <c r="F144" s="187"/>
      <c r="G144" s="18" t="s">
        <v>130</v>
      </c>
      <c r="H144" s="37">
        <f>H145</f>
        <v>600</v>
      </c>
      <c r="I144" s="153">
        <f>700000</f>
        <v>700000</v>
      </c>
      <c r="J144" s="132"/>
      <c r="K144" s="133"/>
      <c r="L144" s="55">
        <f t="shared" si="4"/>
        <v>700</v>
      </c>
      <c r="M144" s="137">
        <f>700000</f>
        <v>700000</v>
      </c>
      <c r="N144" s="138"/>
      <c r="O144" s="57">
        <f>M144/1000</f>
        <v>700</v>
      </c>
    </row>
    <row r="145" spans="1:15" s="1" customFormat="1" ht="44.25" customHeight="1">
      <c r="A145" s="181" t="s">
        <v>12</v>
      </c>
      <c r="B145" s="181"/>
      <c r="C145" s="181"/>
      <c r="D145" s="17" t="s">
        <v>64</v>
      </c>
      <c r="E145" s="187" t="s">
        <v>70</v>
      </c>
      <c r="F145" s="187"/>
      <c r="G145" s="17" t="s">
        <v>11</v>
      </c>
      <c r="H145" s="37">
        <f>H146</f>
        <v>600</v>
      </c>
      <c r="I145" s="153">
        <f>700000</f>
        <v>700000</v>
      </c>
      <c r="J145" s="132"/>
      <c r="K145" s="133"/>
      <c r="L145" s="55">
        <f t="shared" si="4"/>
        <v>700</v>
      </c>
      <c r="M145" s="137">
        <f>700000</f>
        <v>700000</v>
      </c>
      <c r="N145" s="138"/>
      <c r="O145" s="57">
        <f>M145/1000</f>
        <v>700</v>
      </c>
    </row>
    <row r="146" spans="1:15" s="1" customFormat="1" ht="44.25" customHeight="1">
      <c r="A146" s="175" t="s">
        <v>171</v>
      </c>
      <c r="B146" s="176"/>
      <c r="C146" s="177"/>
      <c r="D146" s="17" t="s">
        <v>64</v>
      </c>
      <c r="E146" s="187" t="s">
        <v>70</v>
      </c>
      <c r="F146" s="187"/>
      <c r="G146" s="17">
        <v>244</v>
      </c>
      <c r="H146" s="37">
        <v>600</v>
      </c>
      <c r="I146" s="83"/>
      <c r="J146" s="84"/>
      <c r="K146" s="37"/>
      <c r="L146" s="55">
        <v>700</v>
      </c>
      <c r="M146" s="56"/>
      <c r="N146" s="47"/>
      <c r="O146" s="57">
        <v>700</v>
      </c>
    </row>
    <row r="147" spans="1:15" s="1" customFormat="1" ht="28.5" customHeight="1">
      <c r="A147" s="181" t="s">
        <v>73</v>
      </c>
      <c r="B147" s="181"/>
      <c r="C147" s="181"/>
      <c r="D147" s="17" t="s">
        <v>64</v>
      </c>
      <c r="E147" s="187" t="s">
        <v>72</v>
      </c>
      <c r="F147" s="187"/>
      <c r="G147" s="18"/>
      <c r="H147" s="37">
        <f>H148+H150</f>
        <v>3250</v>
      </c>
      <c r="I147" s="153">
        <f>3500000</f>
        <v>3500000</v>
      </c>
      <c r="J147" s="132"/>
      <c r="K147" s="133"/>
      <c r="L147" s="55">
        <f t="shared" si="4"/>
        <v>3500</v>
      </c>
      <c r="M147" s="137">
        <f>3700000</f>
        <v>3700000</v>
      </c>
      <c r="N147" s="138"/>
      <c r="O147" s="57">
        <f>M147/1000</f>
        <v>3700</v>
      </c>
    </row>
    <row r="148" spans="1:15" s="1" customFormat="1" ht="40.5" customHeight="1">
      <c r="A148" s="181" t="s">
        <v>12</v>
      </c>
      <c r="B148" s="181"/>
      <c r="C148" s="181"/>
      <c r="D148" s="17" t="s">
        <v>64</v>
      </c>
      <c r="E148" s="187" t="s">
        <v>72</v>
      </c>
      <c r="F148" s="187"/>
      <c r="G148" s="17" t="s">
        <v>11</v>
      </c>
      <c r="H148" s="37">
        <f>H149</f>
        <v>3205.3</v>
      </c>
      <c r="I148" s="153">
        <f>3500000</f>
        <v>3500000</v>
      </c>
      <c r="J148" s="132"/>
      <c r="K148" s="133"/>
      <c r="L148" s="55">
        <f t="shared" si="4"/>
        <v>3500</v>
      </c>
      <c r="M148" s="137">
        <f>3700000</f>
        <v>3700000</v>
      </c>
      <c r="N148" s="138"/>
      <c r="O148" s="57">
        <f>M148/1000</f>
        <v>3700</v>
      </c>
    </row>
    <row r="149" spans="1:15" s="1" customFormat="1" ht="40.5" customHeight="1">
      <c r="A149" s="175" t="s">
        <v>171</v>
      </c>
      <c r="B149" s="176"/>
      <c r="C149" s="177"/>
      <c r="D149" s="17" t="s">
        <v>64</v>
      </c>
      <c r="E149" s="187" t="s">
        <v>72</v>
      </c>
      <c r="F149" s="187"/>
      <c r="G149" s="17">
        <v>244</v>
      </c>
      <c r="H149" s="37">
        <v>3205.3</v>
      </c>
      <c r="I149" s="83"/>
      <c r="J149" s="84"/>
      <c r="K149" s="37"/>
      <c r="L149" s="55">
        <v>3500</v>
      </c>
      <c r="M149" s="56"/>
      <c r="N149" s="47"/>
      <c r="O149" s="57">
        <v>3700</v>
      </c>
    </row>
    <row r="150" spans="1:15" s="1" customFormat="1" ht="30" customHeight="1">
      <c r="A150" s="258" t="s">
        <v>161</v>
      </c>
      <c r="B150" s="258"/>
      <c r="C150" s="258"/>
      <c r="D150" s="17" t="s">
        <v>64</v>
      </c>
      <c r="E150" s="187" t="s">
        <v>72</v>
      </c>
      <c r="F150" s="187"/>
      <c r="G150" s="17">
        <v>830</v>
      </c>
      <c r="H150" s="37">
        <f>H151</f>
        <v>44.7</v>
      </c>
      <c r="I150" s="83"/>
      <c r="J150" s="84"/>
      <c r="K150" s="37"/>
      <c r="L150" s="55">
        <v>0</v>
      </c>
      <c r="M150" s="56"/>
      <c r="N150" s="47"/>
      <c r="O150" s="57">
        <v>0</v>
      </c>
    </row>
    <row r="151" spans="1:15" s="1" customFormat="1" ht="103.5" customHeight="1">
      <c r="A151" s="184" t="s">
        <v>57</v>
      </c>
      <c r="B151" s="185"/>
      <c r="C151" s="186"/>
      <c r="D151" s="17" t="s">
        <v>64</v>
      </c>
      <c r="E151" s="187" t="s">
        <v>72</v>
      </c>
      <c r="F151" s="187"/>
      <c r="G151" s="17">
        <v>831</v>
      </c>
      <c r="H151" s="37">
        <v>44.7</v>
      </c>
      <c r="I151" s="83"/>
      <c r="J151" s="84"/>
      <c r="K151" s="37"/>
      <c r="L151" s="55">
        <v>0</v>
      </c>
      <c r="M151" s="56"/>
      <c r="N151" s="47"/>
      <c r="O151" s="57">
        <v>0</v>
      </c>
    </row>
    <row r="152" spans="1:15" s="1" customFormat="1" ht="45" customHeight="1">
      <c r="A152" s="181" t="s">
        <v>110</v>
      </c>
      <c r="B152" s="181"/>
      <c r="C152" s="181"/>
      <c r="D152" s="17" t="s">
        <v>64</v>
      </c>
      <c r="E152" s="187" t="s">
        <v>74</v>
      </c>
      <c r="F152" s="187"/>
      <c r="G152" s="18"/>
      <c r="H152" s="37">
        <f>H153</f>
        <v>0</v>
      </c>
      <c r="I152" s="153"/>
      <c r="J152" s="132"/>
      <c r="K152" s="133"/>
      <c r="L152" s="55">
        <v>0</v>
      </c>
      <c r="M152" s="137">
        <f>4200000</f>
        <v>4200000</v>
      </c>
      <c r="N152" s="138"/>
      <c r="O152" s="57">
        <f>M152/1000</f>
        <v>4200</v>
      </c>
    </row>
    <row r="153" spans="1:15" s="1" customFormat="1" ht="38.25" customHeight="1">
      <c r="A153" s="181" t="s">
        <v>12</v>
      </c>
      <c r="B153" s="181"/>
      <c r="C153" s="181"/>
      <c r="D153" s="21" t="s">
        <v>64</v>
      </c>
      <c r="E153" s="190" t="s">
        <v>74</v>
      </c>
      <c r="F153" s="190"/>
      <c r="G153" s="17" t="s">
        <v>11</v>
      </c>
      <c r="H153" s="37">
        <f>H154</f>
        <v>0</v>
      </c>
      <c r="I153" s="153"/>
      <c r="J153" s="132"/>
      <c r="K153" s="133"/>
      <c r="L153" s="55">
        <v>0</v>
      </c>
      <c r="M153" s="137">
        <f>4200000</f>
        <v>4200000</v>
      </c>
      <c r="N153" s="138"/>
      <c r="O153" s="57">
        <f>M153/1000</f>
        <v>4200</v>
      </c>
    </row>
    <row r="154" spans="1:15" s="1" customFormat="1" ht="38.25" customHeight="1">
      <c r="A154" s="175" t="s">
        <v>171</v>
      </c>
      <c r="B154" s="176"/>
      <c r="C154" s="177"/>
      <c r="D154" s="21" t="s">
        <v>64</v>
      </c>
      <c r="E154" s="190" t="s">
        <v>74</v>
      </c>
      <c r="F154" s="190"/>
      <c r="G154" s="35">
        <v>244</v>
      </c>
      <c r="H154" s="37">
        <v>0</v>
      </c>
      <c r="I154" s="83"/>
      <c r="J154" s="84"/>
      <c r="K154" s="37"/>
      <c r="L154" s="55">
        <v>0</v>
      </c>
      <c r="M154" s="56"/>
      <c r="N154" s="47"/>
      <c r="O154" s="57">
        <v>4200</v>
      </c>
    </row>
    <row r="155" spans="1:15" s="1" customFormat="1" ht="46.5" customHeight="1">
      <c r="A155" s="167" t="s">
        <v>167</v>
      </c>
      <c r="B155" s="168"/>
      <c r="C155" s="168"/>
      <c r="D155" s="30" t="s">
        <v>64</v>
      </c>
      <c r="E155" s="154">
        <v>7956500</v>
      </c>
      <c r="F155" s="195"/>
      <c r="G155" s="35"/>
      <c r="H155" s="37">
        <f>H156</f>
        <v>500</v>
      </c>
      <c r="I155" s="83"/>
      <c r="J155" s="84"/>
      <c r="K155" s="37"/>
      <c r="L155" s="55">
        <v>0</v>
      </c>
      <c r="M155" s="56"/>
      <c r="N155" s="47"/>
      <c r="O155" s="57">
        <v>0</v>
      </c>
    </row>
    <row r="156" spans="1:15" s="1" customFormat="1" ht="39.75" customHeight="1">
      <c r="A156" s="181" t="s">
        <v>12</v>
      </c>
      <c r="B156" s="181"/>
      <c r="C156" s="181"/>
      <c r="D156" s="41" t="s">
        <v>64</v>
      </c>
      <c r="E156" s="194">
        <v>7956500</v>
      </c>
      <c r="F156" s="195"/>
      <c r="G156" s="17">
        <v>240</v>
      </c>
      <c r="H156" s="37">
        <f>H157</f>
        <v>500</v>
      </c>
      <c r="I156" s="83"/>
      <c r="J156" s="84"/>
      <c r="K156" s="37"/>
      <c r="L156" s="55">
        <v>0</v>
      </c>
      <c r="M156" s="56"/>
      <c r="N156" s="47"/>
      <c r="O156" s="57">
        <v>0</v>
      </c>
    </row>
    <row r="157" spans="1:15" s="1" customFormat="1" ht="39.75" customHeight="1">
      <c r="A157" s="175" t="s">
        <v>171</v>
      </c>
      <c r="B157" s="176"/>
      <c r="C157" s="177"/>
      <c r="D157" s="41" t="s">
        <v>64</v>
      </c>
      <c r="E157" s="194">
        <v>7956500</v>
      </c>
      <c r="F157" s="195"/>
      <c r="G157" s="17">
        <v>244</v>
      </c>
      <c r="H157" s="37">
        <v>500</v>
      </c>
      <c r="I157" s="83"/>
      <c r="J157" s="84"/>
      <c r="K157" s="37"/>
      <c r="L157" s="55">
        <v>0</v>
      </c>
      <c r="M157" s="56"/>
      <c r="N157" s="47"/>
      <c r="O157" s="57">
        <v>0</v>
      </c>
    </row>
    <row r="158" spans="1:15" s="1" customFormat="1" ht="31.5" customHeight="1">
      <c r="A158" s="175" t="s">
        <v>182</v>
      </c>
      <c r="B158" s="176"/>
      <c r="C158" s="177"/>
      <c r="D158" s="286" t="s">
        <v>64</v>
      </c>
      <c r="E158" s="157">
        <v>9104406</v>
      </c>
      <c r="F158" s="157"/>
      <c r="G158" s="35"/>
      <c r="H158" s="37">
        <f>H159</f>
        <v>5152.4</v>
      </c>
      <c r="I158" s="83"/>
      <c r="J158" s="84"/>
      <c r="K158" s="37"/>
      <c r="L158" s="55">
        <f>L159</f>
        <v>0</v>
      </c>
      <c r="M158" s="56"/>
      <c r="N158" s="47"/>
      <c r="O158" s="57">
        <f>O159</f>
        <v>0</v>
      </c>
    </row>
    <row r="159" spans="1:15" s="1" customFormat="1" ht="39.75" customHeight="1">
      <c r="A159" s="181" t="s">
        <v>12</v>
      </c>
      <c r="B159" s="181"/>
      <c r="C159" s="181"/>
      <c r="D159" s="286" t="s">
        <v>64</v>
      </c>
      <c r="E159" s="157">
        <v>9104406</v>
      </c>
      <c r="F159" s="157"/>
      <c r="G159" s="35">
        <v>240</v>
      </c>
      <c r="H159" s="37">
        <f>H160</f>
        <v>5152.4</v>
      </c>
      <c r="I159" s="83"/>
      <c r="J159" s="84"/>
      <c r="K159" s="37"/>
      <c r="L159" s="55">
        <f>L160</f>
        <v>0</v>
      </c>
      <c r="M159" s="56"/>
      <c r="N159" s="47"/>
      <c r="O159" s="57">
        <f>O160</f>
        <v>0</v>
      </c>
    </row>
    <row r="160" spans="1:15" s="1" customFormat="1" ht="39.75" customHeight="1">
      <c r="A160" s="175" t="s">
        <v>171</v>
      </c>
      <c r="B160" s="176"/>
      <c r="C160" s="177"/>
      <c r="D160" s="287" t="s">
        <v>64</v>
      </c>
      <c r="E160" s="218">
        <v>9104406</v>
      </c>
      <c r="F160" s="219"/>
      <c r="G160" s="17">
        <v>244</v>
      </c>
      <c r="H160" s="37">
        <v>5152.4</v>
      </c>
      <c r="I160" s="83"/>
      <c r="J160" s="84"/>
      <c r="K160" s="37"/>
      <c r="L160" s="55">
        <v>0</v>
      </c>
      <c r="M160" s="56"/>
      <c r="N160" s="47"/>
      <c r="O160" s="57">
        <v>0</v>
      </c>
    </row>
    <row r="161" spans="1:15" s="1" customFormat="1" ht="23.25" customHeight="1">
      <c r="A161" s="182" t="s">
        <v>137</v>
      </c>
      <c r="B161" s="182"/>
      <c r="C161" s="182"/>
      <c r="D161" s="25" t="s">
        <v>138</v>
      </c>
      <c r="E161" s="189"/>
      <c r="F161" s="189"/>
      <c r="G161" s="25"/>
      <c r="H161" s="63">
        <f>H162+H166</f>
        <v>204</v>
      </c>
      <c r="I161" s="163">
        <f>I162+I166</f>
        <v>231000</v>
      </c>
      <c r="J161" s="164"/>
      <c r="K161" s="165"/>
      <c r="L161" s="67">
        <f aca="true" t="shared" si="5" ref="L161:L235">I161/1000</f>
        <v>231</v>
      </c>
      <c r="M161" s="166">
        <f>M162+M166</f>
        <v>242000</v>
      </c>
      <c r="N161" s="147"/>
      <c r="O161" s="68">
        <f>M161/1000</f>
        <v>242</v>
      </c>
    </row>
    <row r="162" spans="1:15" s="1" customFormat="1" ht="21" customHeight="1">
      <c r="A162" s="183" t="s">
        <v>88</v>
      </c>
      <c r="B162" s="183"/>
      <c r="C162" s="183"/>
      <c r="D162" s="19" t="s">
        <v>87</v>
      </c>
      <c r="E162" s="188"/>
      <c r="F162" s="188"/>
      <c r="G162" s="15"/>
      <c r="H162" s="66">
        <f>H163</f>
        <v>85</v>
      </c>
      <c r="I162" s="141">
        <f>96000</f>
        <v>96000</v>
      </c>
      <c r="J162" s="142"/>
      <c r="K162" s="143"/>
      <c r="L162" s="51">
        <f t="shared" si="5"/>
        <v>96</v>
      </c>
      <c r="M162" s="139">
        <f>102000</f>
        <v>102000</v>
      </c>
      <c r="N162" s="140"/>
      <c r="O162" s="54">
        <f aca="true" t="shared" si="6" ref="O162:O235">M162/1000</f>
        <v>102</v>
      </c>
    </row>
    <row r="163" spans="1:15" s="1" customFormat="1" ht="56.25" customHeight="1">
      <c r="A163" s="181" t="s">
        <v>90</v>
      </c>
      <c r="B163" s="181"/>
      <c r="C163" s="181"/>
      <c r="D163" s="17" t="s">
        <v>87</v>
      </c>
      <c r="E163" s="187" t="s">
        <v>89</v>
      </c>
      <c r="F163" s="187"/>
      <c r="G163" s="18"/>
      <c r="H163" s="37">
        <f>H164</f>
        <v>85</v>
      </c>
      <c r="I163" s="153">
        <f>96000</f>
        <v>96000</v>
      </c>
      <c r="J163" s="132"/>
      <c r="K163" s="133"/>
      <c r="L163" s="55">
        <f t="shared" si="5"/>
        <v>96</v>
      </c>
      <c r="M163" s="137">
        <f>102000</f>
        <v>102000</v>
      </c>
      <c r="N163" s="138"/>
      <c r="O163" s="57">
        <f t="shared" si="6"/>
        <v>102</v>
      </c>
    </row>
    <row r="164" spans="1:15" s="1" customFormat="1" ht="36" customHeight="1">
      <c r="A164" s="181" t="s">
        <v>92</v>
      </c>
      <c r="B164" s="181"/>
      <c r="C164" s="181"/>
      <c r="D164" s="17" t="s">
        <v>87</v>
      </c>
      <c r="E164" s="187" t="s">
        <v>89</v>
      </c>
      <c r="F164" s="187"/>
      <c r="G164" s="17" t="s">
        <v>91</v>
      </c>
      <c r="H164" s="37">
        <f>H165</f>
        <v>85</v>
      </c>
      <c r="I164" s="153">
        <f>96000</f>
        <v>96000</v>
      </c>
      <c r="J164" s="132"/>
      <c r="K164" s="133"/>
      <c r="L164" s="55">
        <f t="shared" si="5"/>
        <v>96</v>
      </c>
      <c r="M164" s="137">
        <f>102000</f>
        <v>102000</v>
      </c>
      <c r="N164" s="138"/>
      <c r="O164" s="57">
        <f t="shared" si="6"/>
        <v>102</v>
      </c>
    </row>
    <row r="165" spans="1:15" s="1" customFormat="1" ht="36" customHeight="1">
      <c r="A165" s="175" t="s">
        <v>175</v>
      </c>
      <c r="B165" s="176"/>
      <c r="C165" s="177"/>
      <c r="D165" s="17" t="s">
        <v>87</v>
      </c>
      <c r="E165" s="187" t="s">
        <v>89</v>
      </c>
      <c r="F165" s="187"/>
      <c r="G165" s="17">
        <v>312</v>
      </c>
      <c r="H165" s="37">
        <v>85</v>
      </c>
      <c r="I165" s="83"/>
      <c r="J165" s="84"/>
      <c r="K165" s="37"/>
      <c r="L165" s="55">
        <v>96</v>
      </c>
      <c r="M165" s="56"/>
      <c r="N165" s="47"/>
      <c r="O165" s="57">
        <v>102</v>
      </c>
    </row>
    <row r="166" spans="1:15" s="1" customFormat="1" ht="27.75" customHeight="1">
      <c r="A166" s="183" t="s">
        <v>94</v>
      </c>
      <c r="B166" s="183"/>
      <c r="C166" s="183"/>
      <c r="D166" s="19" t="s">
        <v>93</v>
      </c>
      <c r="E166" s="188"/>
      <c r="F166" s="188"/>
      <c r="G166" s="15"/>
      <c r="H166" s="66">
        <v>119</v>
      </c>
      <c r="I166" s="141">
        <f>135000</f>
        <v>135000</v>
      </c>
      <c r="J166" s="142"/>
      <c r="K166" s="143"/>
      <c r="L166" s="51">
        <f t="shared" si="5"/>
        <v>135</v>
      </c>
      <c r="M166" s="139">
        <f>140000</f>
        <v>140000</v>
      </c>
      <c r="N166" s="140"/>
      <c r="O166" s="54">
        <f t="shared" si="6"/>
        <v>140</v>
      </c>
    </row>
    <row r="167" spans="1:15" s="1" customFormat="1" ht="33.75" customHeight="1">
      <c r="A167" s="181" t="s">
        <v>96</v>
      </c>
      <c r="B167" s="181"/>
      <c r="C167" s="181"/>
      <c r="D167" s="17" t="s">
        <v>93</v>
      </c>
      <c r="E167" s="187" t="s">
        <v>95</v>
      </c>
      <c r="F167" s="187"/>
      <c r="G167" s="18"/>
      <c r="H167" s="37">
        <f>H168+H169</f>
        <v>119</v>
      </c>
      <c r="I167" s="153">
        <f>135000</f>
        <v>135000</v>
      </c>
      <c r="J167" s="132"/>
      <c r="K167" s="133"/>
      <c r="L167" s="55">
        <f t="shared" si="5"/>
        <v>135</v>
      </c>
      <c r="M167" s="137">
        <f>140000</f>
        <v>140000</v>
      </c>
      <c r="N167" s="138"/>
      <c r="O167" s="57">
        <f t="shared" si="6"/>
        <v>140</v>
      </c>
    </row>
    <row r="168" spans="1:15" s="1" customFormat="1" ht="48" customHeight="1">
      <c r="A168" s="181" t="s">
        <v>98</v>
      </c>
      <c r="B168" s="181"/>
      <c r="C168" s="181"/>
      <c r="D168" s="17" t="s">
        <v>93</v>
      </c>
      <c r="E168" s="187" t="s">
        <v>95</v>
      </c>
      <c r="F168" s="187"/>
      <c r="G168" s="17" t="s">
        <v>97</v>
      </c>
      <c r="H168" s="37">
        <v>100</v>
      </c>
      <c r="I168" s="153">
        <f>115000</f>
        <v>115000</v>
      </c>
      <c r="J168" s="132"/>
      <c r="K168" s="133"/>
      <c r="L168" s="55">
        <f t="shared" si="5"/>
        <v>115</v>
      </c>
      <c r="M168" s="137">
        <f>120000</f>
        <v>120000</v>
      </c>
      <c r="N168" s="138"/>
      <c r="O168" s="57">
        <f t="shared" si="6"/>
        <v>120</v>
      </c>
    </row>
    <row r="169" spans="1:15" s="1" customFormat="1" ht="34.5" customHeight="1">
      <c r="A169" s="181" t="s">
        <v>100</v>
      </c>
      <c r="B169" s="181"/>
      <c r="C169" s="181"/>
      <c r="D169" s="17" t="s">
        <v>93</v>
      </c>
      <c r="E169" s="187" t="s">
        <v>95</v>
      </c>
      <c r="F169" s="187"/>
      <c r="G169" s="17" t="s">
        <v>99</v>
      </c>
      <c r="H169" s="37">
        <v>19</v>
      </c>
      <c r="I169" s="153">
        <f>20000</f>
        <v>20000</v>
      </c>
      <c r="J169" s="132"/>
      <c r="K169" s="133"/>
      <c r="L169" s="55">
        <f t="shared" si="5"/>
        <v>20</v>
      </c>
      <c r="M169" s="137">
        <f>20000</f>
        <v>20000</v>
      </c>
      <c r="N169" s="138"/>
      <c r="O169" s="57">
        <f t="shared" si="6"/>
        <v>20</v>
      </c>
    </row>
    <row r="170" spans="1:15" s="1" customFormat="1" ht="32.25" customHeight="1">
      <c r="A170" s="182" t="s">
        <v>105</v>
      </c>
      <c r="B170" s="182"/>
      <c r="C170" s="182"/>
      <c r="D170" s="26">
        <v>1300</v>
      </c>
      <c r="E170" s="189"/>
      <c r="F170" s="189"/>
      <c r="G170" s="25"/>
      <c r="H170" s="63">
        <f>H171</f>
        <v>330</v>
      </c>
      <c r="I170" s="163">
        <f>2115000</f>
        <v>2115000</v>
      </c>
      <c r="J170" s="164"/>
      <c r="K170" s="165"/>
      <c r="L170" s="67">
        <f t="shared" si="5"/>
        <v>2115</v>
      </c>
      <c r="M170" s="166">
        <f>2350000</f>
        <v>2350000</v>
      </c>
      <c r="N170" s="147"/>
      <c r="O170" s="90">
        <f>M170/1000</f>
        <v>2350</v>
      </c>
    </row>
    <row r="171" spans="1:15" s="1" customFormat="1" ht="33.75" customHeight="1">
      <c r="A171" s="183" t="s">
        <v>105</v>
      </c>
      <c r="B171" s="183"/>
      <c r="C171" s="183"/>
      <c r="D171" s="19" t="s">
        <v>104</v>
      </c>
      <c r="E171" s="188"/>
      <c r="F171" s="188"/>
      <c r="G171" s="15"/>
      <c r="H171" s="66">
        <f>H172</f>
        <v>330</v>
      </c>
      <c r="I171" s="141">
        <f>2115000</f>
        <v>2115000</v>
      </c>
      <c r="J171" s="142"/>
      <c r="K171" s="143"/>
      <c r="L171" s="51">
        <f t="shared" si="5"/>
        <v>2115</v>
      </c>
      <c r="M171" s="139">
        <f>2350000</f>
        <v>2350000</v>
      </c>
      <c r="N171" s="140"/>
      <c r="O171" s="54">
        <f t="shared" si="6"/>
        <v>2350</v>
      </c>
    </row>
    <row r="172" spans="1:15" s="1" customFormat="1" ht="37.5" customHeight="1">
      <c r="A172" s="181" t="s">
        <v>107</v>
      </c>
      <c r="B172" s="181"/>
      <c r="C172" s="181"/>
      <c r="D172" s="17" t="s">
        <v>104</v>
      </c>
      <c r="E172" s="187" t="s">
        <v>106</v>
      </c>
      <c r="F172" s="187"/>
      <c r="G172" s="18"/>
      <c r="H172" s="37">
        <f>H173</f>
        <v>330</v>
      </c>
      <c r="I172" s="153">
        <f>2115000</f>
        <v>2115000</v>
      </c>
      <c r="J172" s="132"/>
      <c r="K172" s="133"/>
      <c r="L172" s="55">
        <f t="shared" si="5"/>
        <v>2115</v>
      </c>
      <c r="M172" s="137">
        <f>2350000</f>
        <v>2350000</v>
      </c>
      <c r="N172" s="138"/>
      <c r="O172" s="57">
        <f t="shared" si="6"/>
        <v>2350</v>
      </c>
    </row>
    <row r="173" spans="1:15" s="1" customFormat="1" ht="26.25" customHeight="1">
      <c r="A173" s="181" t="s">
        <v>109</v>
      </c>
      <c r="B173" s="181"/>
      <c r="C173" s="181"/>
      <c r="D173" s="17" t="s">
        <v>104</v>
      </c>
      <c r="E173" s="187" t="s">
        <v>106</v>
      </c>
      <c r="F173" s="187"/>
      <c r="G173" s="17" t="s">
        <v>108</v>
      </c>
      <c r="H173" s="46">
        <v>330</v>
      </c>
      <c r="I173" s="153">
        <f>2115000</f>
        <v>2115000</v>
      </c>
      <c r="J173" s="132"/>
      <c r="K173" s="133"/>
      <c r="L173" s="55">
        <f t="shared" si="5"/>
        <v>2115</v>
      </c>
      <c r="M173" s="137">
        <f>2350000</f>
        <v>2350000</v>
      </c>
      <c r="N173" s="138"/>
      <c r="O173" s="57">
        <f t="shared" si="6"/>
        <v>2350</v>
      </c>
    </row>
    <row r="174" spans="1:15" s="7" customFormat="1" ht="48" customHeight="1">
      <c r="A174" s="148" t="s">
        <v>148</v>
      </c>
      <c r="B174" s="149"/>
      <c r="C174" s="150"/>
      <c r="D174" s="20"/>
      <c r="E174" s="146"/>
      <c r="F174" s="124"/>
      <c r="G174" s="32"/>
      <c r="H174" s="31">
        <f>H175</f>
        <v>5981</v>
      </c>
      <c r="I174" s="145">
        <v>7000000</v>
      </c>
      <c r="J174" s="145"/>
      <c r="K174" s="198"/>
      <c r="L174" s="24">
        <f t="shared" si="5"/>
        <v>7000</v>
      </c>
      <c r="M174" s="144">
        <v>7300000</v>
      </c>
      <c r="N174" s="145"/>
      <c r="O174" s="14">
        <f t="shared" si="6"/>
        <v>7300</v>
      </c>
    </row>
    <row r="175" spans="1:15" s="1" customFormat="1" ht="27.75" customHeight="1">
      <c r="A175" s="182" t="s">
        <v>133</v>
      </c>
      <c r="B175" s="182"/>
      <c r="C175" s="182"/>
      <c r="D175" s="25" t="s">
        <v>134</v>
      </c>
      <c r="E175" s="189"/>
      <c r="F175" s="189"/>
      <c r="G175" s="25"/>
      <c r="H175" s="77">
        <f>H176</f>
        <v>5981</v>
      </c>
      <c r="I175" s="199">
        <f>7000000</f>
        <v>7000000</v>
      </c>
      <c r="J175" s="200"/>
      <c r="K175" s="201"/>
      <c r="L175" s="69">
        <f t="shared" si="5"/>
        <v>7000</v>
      </c>
      <c r="M175" s="125">
        <f>7300000</f>
        <v>7300000</v>
      </c>
      <c r="N175" s="126"/>
      <c r="O175" s="70">
        <f>M175/1000</f>
        <v>7300</v>
      </c>
    </row>
    <row r="176" spans="1:15" s="1" customFormat="1" ht="27.75" customHeight="1">
      <c r="A176" s="183" t="s">
        <v>45</v>
      </c>
      <c r="B176" s="183"/>
      <c r="C176" s="183"/>
      <c r="D176" s="19" t="s">
        <v>44</v>
      </c>
      <c r="E176" s="188"/>
      <c r="F176" s="188"/>
      <c r="G176" s="15"/>
      <c r="H176" s="71">
        <f>H177+H186</f>
        <v>5981</v>
      </c>
      <c r="I176" s="247">
        <f>7000000</f>
        <v>7000000</v>
      </c>
      <c r="J176" s="248"/>
      <c r="K176" s="249"/>
      <c r="L176" s="72">
        <f t="shared" si="5"/>
        <v>7000</v>
      </c>
      <c r="M176" s="245">
        <f>7300000</f>
        <v>7300000</v>
      </c>
      <c r="N176" s="246"/>
      <c r="O176" s="73">
        <f t="shared" si="6"/>
        <v>7300</v>
      </c>
    </row>
    <row r="177" spans="1:15" s="1" customFormat="1" ht="48" customHeight="1">
      <c r="A177" s="181" t="s">
        <v>47</v>
      </c>
      <c r="B177" s="181"/>
      <c r="C177" s="181"/>
      <c r="D177" s="17" t="s">
        <v>44</v>
      </c>
      <c r="E177" s="187" t="s">
        <v>46</v>
      </c>
      <c r="F177" s="187"/>
      <c r="G177" s="18"/>
      <c r="H177" s="74">
        <f>H178+H181+H184</f>
        <v>5326</v>
      </c>
      <c r="I177" s="204">
        <f>6000000</f>
        <v>6000000</v>
      </c>
      <c r="J177" s="205"/>
      <c r="K177" s="206"/>
      <c r="L177" s="75">
        <f t="shared" si="5"/>
        <v>6000</v>
      </c>
      <c r="M177" s="207">
        <f>6300000</f>
        <v>6300000</v>
      </c>
      <c r="N177" s="208"/>
      <c r="O177" s="76">
        <f t="shared" si="6"/>
        <v>6300</v>
      </c>
    </row>
    <row r="178" spans="1:15" s="1" customFormat="1" ht="29.25" customHeight="1">
      <c r="A178" s="181" t="s">
        <v>49</v>
      </c>
      <c r="B178" s="181"/>
      <c r="C178" s="181"/>
      <c r="D178" s="17" t="s">
        <v>44</v>
      </c>
      <c r="E178" s="187" t="s">
        <v>46</v>
      </c>
      <c r="F178" s="187"/>
      <c r="G178" s="17" t="s">
        <v>48</v>
      </c>
      <c r="H178" s="74">
        <f>H179+H180</f>
        <v>4371</v>
      </c>
      <c r="I178" s="204">
        <f>5024400</f>
        <v>5024400</v>
      </c>
      <c r="J178" s="205"/>
      <c r="K178" s="206"/>
      <c r="L178" s="75">
        <f t="shared" si="5"/>
        <v>5024.4</v>
      </c>
      <c r="M178" s="207">
        <f>5275000</f>
        <v>5275000</v>
      </c>
      <c r="N178" s="208"/>
      <c r="O178" s="76">
        <f t="shared" si="6"/>
        <v>5275</v>
      </c>
    </row>
    <row r="179" spans="1:15" s="1" customFormat="1" ht="29.25" customHeight="1">
      <c r="A179" s="178" t="s">
        <v>176</v>
      </c>
      <c r="B179" s="179"/>
      <c r="C179" s="180"/>
      <c r="D179" s="17" t="s">
        <v>44</v>
      </c>
      <c r="E179" s="187" t="s">
        <v>46</v>
      </c>
      <c r="F179" s="187"/>
      <c r="G179" s="17">
        <v>111</v>
      </c>
      <c r="H179" s="74">
        <v>4347.5</v>
      </c>
      <c r="I179" s="99"/>
      <c r="J179" s="100"/>
      <c r="K179" s="74"/>
      <c r="L179" s="75">
        <v>4948</v>
      </c>
      <c r="M179" s="60"/>
      <c r="N179" s="61"/>
      <c r="O179" s="76">
        <v>5197</v>
      </c>
    </row>
    <row r="180" spans="1:15" s="1" customFormat="1" ht="29.25" customHeight="1">
      <c r="A180" s="178" t="s">
        <v>177</v>
      </c>
      <c r="B180" s="179"/>
      <c r="C180" s="180"/>
      <c r="D180" s="17" t="s">
        <v>44</v>
      </c>
      <c r="E180" s="187" t="s">
        <v>46</v>
      </c>
      <c r="F180" s="187"/>
      <c r="G180" s="17">
        <v>112</v>
      </c>
      <c r="H180" s="74">
        <v>23.5</v>
      </c>
      <c r="I180" s="99"/>
      <c r="J180" s="100"/>
      <c r="K180" s="74"/>
      <c r="L180" s="75">
        <f>L178-L179</f>
        <v>76.39999999999964</v>
      </c>
      <c r="M180" s="60"/>
      <c r="N180" s="61"/>
      <c r="O180" s="76">
        <f>O178-O179</f>
        <v>78</v>
      </c>
    </row>
    <row r="181" spans="1:15" s="1" customFormat="1" ht="42.75" customHeight="1">
      <c r="A181" s="181" t="s">
        <v>12</v>
      </c>
      <c r="B181" s="181"/>
      <c r="C181" s="181"/>
      <c r="D181" s="17" t="s">
        <v>44</v>
      </c>
      <c r="E181" s="187" t="s">
        <v>46</v>
      </c>
      <c r="F181" s="187"/>
      <c r="G181" s="17" t="s">
        <v>11</v>
      </c>
      <c r="H181" s="74">
        <f>H182+H183</f>
        <v>953.9</v>
      </c>
      <c r="I181" s="204">
        <f>974100</f>
        <v>974100</v>
      </c>
      <c r="J181" s="205"/>
      <c r="K181" s="206"/>
      <c r="L181" s="75">
        <f t="shared" si="5"/>
        <v>974.1</v>
      </c>
      <c r="M181" s="207">
        <f>1023500</f>
        <v>1023500</v>
      </c>
      <c r="N181" s="208"/>
      <c r="O181" s="76">
        <f t="shared" si="6"/>
        <v>1023.5</v>
      </c>
    </row>
    <row r="182" spans="1:15" s="1" customFormat="1" ht="42.75" customHeight="1">
      <c r="A182" s="175" t="s">
        <v>170</v>
      </c>
      <c r="B182" s="176"/>
      <c r="C182" s="177"/>
      <c r="D182" s="17" t="s">
        <v>44</v>
      </c>
      <c r="E182" s="187" t="s">
        <v>46</v>
      </c>
      <c r="F182" s="187"/>
      <c r="G182" s="17">
        <v>242</v>
      </c>
      <c r="H182" s="74">
        <v>407.1</v>
      </c>
      <c r="I182" s="99"/>
      <c r="J182" s="100"/>
      <c r="K182" s="74"/>
      <c r="L182" s="75">
        <f>H182+57.6</f>
        <v>464.70000000000005</v>
      </c>
      <c r="M182" s="60"/>
      <c r="N182" s="61"/>
      <c r="O182" s="76">
        <f>L182+24.7</f>
        <v>489.40000000000003</v>
      </c>
    </row>
    <row r="183" spans="1:15" s="1" customFormat="1" ht="42.75" customHeight="1">
      <c r="A183" s="175" t="s">
        <v>171</v>
      </c>
      <c r="B183" s="176"/>
      <c r="C183" s="177"/>
      <c r="D183" s="17" t="s">
        <v>44</v>
      </c>
      <c r="E183" s="187" t="s">
        <v>46</v>
      </c>
      <c r="F183" s="187"/>
      <c r="G183" s="17">
        <v>244</v>
      </c>
      <c r="H183" s="74">
        <v>546.8</v>
      </c>
      <c r="I183" s="99"/>
      <c r="J183" s="100"/>
      <c r="K183" s="74"/>
      <c r="L183" s="75">
        <f>H183+57.6</f>
        <v>604.4</v>
      </c>
      <c r="M183" s="60"/>
      <c r="N183" s="61"/>
      <c r="O183" s="76">
        <f>L183+24.7</f>
        <v>629.1</v>
      </c>
    </row>
    <row r="184" spans="1:15" s="1" customFormat="1" ht="29.25" customHeight="1">
      <c r="A184" s="181" t="s">
        <v>15</v>
      </c>
      <c r="B184" s="181"/>
      <c r="C184" s="181"/>
      <c r="D184" s="17" t="s">
        <v>44</v>
      </c>
      <c r="E184" s="187" t="s">
        <v>46</v>
      </c>
      <c r="F184" s="187"/>
      <c r="G184" s="17" t="s">
        <v>14</v>
      </c>
      <c r="H184" s="74">
        <f>H185</f>
        <v>1.1</v>
      </c>
      <c r="I184" s="204">
        <f>1500</f>
        <v>1500</v>
      </c>
      <c r="J184" s="205"/>
      <c r="K184" s="206"/>
      <c r="L184" s="75">
        <f t="shared" si="5"/>
        <v>1.5</v>
      </c>
      <c r="M184" s="207">
        <f>1500</f>
        <v>1500</v>
      </c>
      <c r="N184" s="208"/>
      <c r="O184" s="76">
        <f t="shared" si="6"/>
        <v>1.5</v>
      </c>
    </row>
    <row r="185" spans="1:15" s="1" customFormat="1" ht="29.25" customHeight="1">
      <c r="A185" s="178" t="s">
        <v>172</v>
      </c>
      <c r="B185" s="179"/>
      <c r="C185" s="180"/>
      <c r="D185" s="17" t="s">
        <v>44</v>
      </c>
      <c r="E185" s="187" t="s">
        <v>46</v>
      </c>
      <c r="F185" s="187"/>
      <c r="G185" s="17">
        <v>851</v>
      </c>
      <c r="H185" s="74">
        <v>1.1</v>
      </c>
      <c r="I185" s="99"/>
      <c r="J185" s="100"/>
      <c r="K185" s="74"/>
      <c r="L185" s="75">
        <v>1.5</v>
      </c>
      <c r="M185" s="60"/>
      <c r="N185" s="61"/>
      <c r="O185" s="76">
        <v>1.5</v>
      </c>
    </row>
    <row r="186" spans="1:15" s="1" customFormat="1" ht="34.5" customHeight="1">
      <c r="A186" s="181" t="s">
        <v>151</v>
      </c>
      <c r="B186" s="181"/>
      <c r="C186" s="181"/>
      <c r="D186" s="17" t="s">
        <v>44</v>
      </c>
      <c r="E186" s="187">
        <v>3380002</v>
      </c>
      <c r="F186" s="187"/>
      <c r="G186" s="122"/>
      <c r="H186" s="78">
        <f>H187</f>
        <v>655</v>
      </c>
      <c r="I186" s="204">
        <f>1000000</f>
        <v>1000000</v>
      </c>
      <c r="J186" s="205"/>
      <c r="K186" s="206"/>
      <c r="L186" s="75">
        <f t="shared" si="5"/>
        <v>1000</v>
      </c>
      <c r="M186" s="207">
        <f>1000000</f>
        <v>1000000</v>
      </c>
      <c r="N186" s="208"/>
      <c r="O186" s="76">
        <f t="shared" si="6"/>
        <v>1000</v>
      </c>
    </row>
    <row r="187" spans="1:15" s="1" customFormat="1" ht="45.75" customHeight="1">
      <c r="A187" s="181" t="s">
        <v>12</v>
      </c>
      <c r="B187" s="181"/>
      <c r="C187" s="181"/>
      <c r="D187" s="17" t="s">
        <v>44</v>
      </c>
      <c r="E187" s="187">
        <v>3380002</v>
      </c>
      <c r="F187" s="209"/>
      <c r="G187" s="30" t="s">
        <v>11</v>
      </c>
      <c r="H187" s="128">
        <f>H188</f>
        <v>655</v>
      </c>
      <c r="I187" s="205">
        <f>1000000</f>
        <v>1000000</v>
      </c>
      <c r="J187" s="205"/>
      <c r="K187" s="206"/>
      <c r="L187" s="75">
        <f t="shared" si="5"/>
        <v>1000</v>
      </c>
      <c r="M187" s="207">
        <f>1000000</f>
        <v>1000000</v>
      </c>
      <c r="N187" s="208"/>
      <c r="O187" s="76">
        <f t="shared" si="6"/>
        <v>1000</v>
      </c>
    </row>
    <row r="188" spans="1:15" s="1" customFormat="1" ht="45.75" customHeight="1">
      <c r="A188" s="175" t="s">
        <v>171</v>
      </c>
      <c r="B188" s="176"/>
      <c r="C188" s="177"/>
      <c r="D188" s="17" t="s">
        <v>44</v>
      </c>
      <c r="E188" s="187">
        <v>3380002</v>
      </c>
      <c r="F188" s="209"/>
      <c r="G188" s="30">
        <v>244</v>
      </c>
      <c r="H188" s="128">
        <v>655</v>
      </c>
      <c r="I188" s="100"/>
      <c r="J188" s="100"/>
      <c r="K188" s="74"/>
      <c r="L188" s="75">
        <v>1000</v>
      </c>
      <c r="M188" s="61"/>
      <c r="N188" s="100"/>
      <c r="O188" s="76">
        <v>1000</v>
      </c>
    </row>
    <row r="189" spans="1:15" s="7" customFormat="1" ht="34.5" customHeight="1">
      <c r="A189" s="148" t="s">
        <v>149</v>
      </c>
      <c r="B189" s="149"/>
      <c r="C189" s="150"/>
      <c r="D189" s="20"/>
      <c r="E189" s="146"/>
      <c r="F189" s="124"/>
      <c r="G189" s="123"/>
      <c r="H189" s="127">
        <f>H190</f>
        <v>4919</v>
      </c>
      <c r="I189" s="203">
        <v>5700000</v>
      </c>
      <c r="J189" s="203"/>
      <c r="K189" s="250"/>
      <c r="L189" s="94">
        <f t="shared" si="5"/>
        <v>5700</v>
      </c>
      <c r="M189" s="202">
        <v>5985000</v>
      </c>
      <c r="N189" s="203"/>
      <c r="O189" s="95">
        <f t="shared" si="6"/>
        <v>5985</v>
      </c>
    </row>
    <row r="190" spans="1:15" s="1" customFormat="1" ht="33.75" customHeight="1">
      <c r="A190" s="182" t="s">
        <v>76</v>
      </c>
      <c r="B190" s="182"/>
      <c r="C190" s="182"/>
      <c r="D190" s="26" t="s">
        <v>75</v>
      </c>
      <c r="E190" s="189"/>
      <c r="F190" s="189"/>
      <c r="G190" s="25"/>
      <c r="H190" s="91">
        <f>H191</f>
        <v>4919</v>
      </c>
      <c r="I190" s="163">
        <f>5700000</f>
        <v>5700000</v>
      </c>
      <c r="J190" s="164"/>
      <c r="K190" s="165"/>
      <c r="L190" s="96">
        <f t="shared" si="5"/>
        <v>5700</v>
      </c>
      <c r="M190" s="166">
        <f>5985000</f>
        <v>5985000</v>
      </c>
      <c r="N190" s="147"/>
      <c r="O190" s="97">
        <f t="shared" si="6"/>
        <v>5985</v>
      </c>
    </row>
    <row r="191" spans="1:15" s="1" customFormat="1" ht="47.25" customHeight="1">
      <c r="A191" s="181" t="s">
        <v>78</v>
      </c>
      <c r="B191" s="181"/>
      <c r="C191" s="181"/>
      <c r="D191" s="17" t="s">
        <v>75</v>
      </c>
      <c r="E191" s="187" t="s">
        <v>77</v>
      </c>
      <c r="F191" s="187"/>
      <c r="G191" s="18"/>
      <c r="H191" s="37">
        <f>H192+H195+H198</f>
        <v>4919</v>
      </c>
      <c r="I191" s="153">
        <f>5700000</f>
        <v>5700000</v>
      </c>
      <c r="J191" s="132"/>
      <c r="K191" s="133"/>
      <c r="L191" s="55">
        <f t="shared" si="5"/>
        <v>5700</v>
      </c>
      <c r="M191" s="137">
        <f>5985000</f>
        <v>5985000</v>
      </c>
      <c r="N191" s="138"/>
      <c r="O191" s="57">
        <f t="shared" si="6"/>
        <v>5985</v>
      </c>
    </row>
    <row r="192" spans="1:15" s="1" customFormat="1" ht="30.75" customHeight="1">
      <c r="A192" s="181" t="s">
        <v>49</v>
      </c>
      <c r="B192" s="181"/>
      <c r="C192" s="181"/>
      <c r="D192" s="17" t="s">
        <v>75</v>
      </c>
      <c r="E192" s="187" t="s">
        <v>77</v>
      </c>
      <c r="F192" s="187"/>
      <c r="G192" s="17" t="s">
        <v>48</v>
      </c>
      <c r="H192" s="37">
        <f>H193+H194</f>
        <v>3018.6</v>
      </c>
      <c r="I192" s="153">
        <f>4558000</f>
        <v>4558000</v>
      </c>
      <c r="J192" s="132"/>
      <c r="K192" s="133"/>
      <c r="L192" s="55">
        <f t="shared" si="5"/>
        <v>4558</v>
      </c>
      <c r="M192" s="137">
        <f>4785000</f>
        <v>4785000</v>
      </c>
      <c r="N192" s="138"/>
      <c r="O192" s="57">
        <f t="shared" si="6"/>
        <v>4785</v>
      </c>
    </row>
    <row r="193" spans="1:15" s="1" customFormat="1" ht="30.75" customHeight="1">
      <c r="A193" s="178" t="s">
        <v>176</v>
      </c>
      <c r="B193" s="179"/>
      <c r="C193" s="180"/>
      <c r="D193" s="17" t="s">
        <v>75</v>
      </c>
      <c r="E193" s="187" t="s">
        <v>77</v>
      </c>
      <c r="F193" s="187"/>
      <c r="G193" s="17">
        <v>111</v>
      </c>
      <c r="H193" s="37">
        <v>2984.4</v>
      </c>
      <c r="I193" s="83"/>
      <c r="J193" s="84"/>
      <c r="K193" s="37"/>
      <c r="L193" s="55">
        <v>4480.2</v>
      </c>
      <c r="M193" s="56"/>
      <c r="N193" s="47"/>
      <c r="O193" s="57">
        <v>4703.6</v>
      </c>
    </row>
    <row r="194" spans="1:15" s="1" customFormat="1" ht="30.75" customHeight="1">
      <c r="A194" s="178" t="s">
        <v>177</v>
      </c>
      <c r="B194" s="179"/>
      <c r="C194" s="180"/>
      <c r="D194" s="17" t="s">
        <v>75</v>
      </c>
      <c r="E194" s="187" t="s">
        <v>77</v>
      </c>
      <c r="F194" s="187"/>
      <c r="G194" s="17">
        <v>112</v>
      </c>
      <c r="H194" s="37">
        <v>34.2</v>
      </c>
      <c r="I194" s="83"/>
      <c r="J194" s="84"/>
      <c r="K194" s="37"/>
      <c r="L194" s="55">
        <f>L192-L193</f>
        <v>77.80000000000018</v>
      </c>
      <c r="M194" s="56"/>
      <c r="N194" s="47"/>
      <c r="O194" s="57">
        <f>O192-O193</f>
        <v>81.39999999999964</v>
      </c>
    </row>
    <row r="195" spans="1:15" s="1" customFormat="1" ht="43.5" customHeight="1">
      <c r="A195" s="181" t="s">
        <v>12</v>
      </c>
      <c r="B195" s="181"/>
      <c r="C195" s="181"/>
      <c r="D195" s="17" t="s">
        <v>75</v>
      </c>
      <c r="E195" s="187" t="s">
        <v>77</v>
      </c>
      <c r="F195" s="187"/>
      <c r="G195" s="17" t="s">
        <v>11</v>
      </c>
      <c r="H195" s="37">
        <f>H196+H197</f>
        <v>1888.5</v>
      </c>
      <c r="I195" s="153">
        <f>1129500</f>
        <v>1129500</v>
      </c>
      <c r="J195" s="132"/>
      <c r="K195" s="133"/>
      <c r="L195" s="55">
        <f t="shared" si="5"/>
        <v>1129.5</v>
      </c>
      <c r="M195" s="137">
        <f>1187500</f>
        <v>1187500</v>
      </c>
      <c r="N195" s="138"/>
      <c r="O195" s="57">
        <f t="shared" si="6"/>
        <v>1187.5</v>
      </c>
    </row>
    <row r="196" spans="1:15" s="1" customFormat="1" ht="43.5" customHeight="1">
      <c r="A196" s="175" t="s">
        <v>170</v>
      </c>
      <c r="B196" s="176"/>
      <c r="C196" s="177"/>
      <c r="D196" s="17" t="s">
        <v>75</v>
      </c>
      <c r="E196" s="187" t="s">
        <v>77</v>
      </c>
      <c r="F196" s="187"/>
      <c r="G196" s="17">
        <v>242</v>
      </c>
      <c r="H196" s="46">
        <v>268.4</v>
      </c>
      <c r="I196" s="83"/>
      <c r="J196" s="84"/>
      <c r="K196" s="37"/>
      <c r="L196" s="55">
        <f>H196+95.5</f>
        <v>363.9</v>
      </c>
      <c r="M196" s="56"/>
      <c r="N196" s="47"/>
      <c r="O196" s="57">
        <f>L196+29</f>
        <v>392.9</v>
      </c>
    </row>
    <row r="197" spans="1:15" s="1" customFormat="1" ht="43.5" customHeight="1">
      <c r="A197" s="175" t="s">
        <v>171</v>
      </c>
      <c r="B197" s="176"/>
      <c r="C197" s="177"/>
      <c r="D197" s="17" t="s">
        <v>75</v>
      </c>
      <c r="E197" s="187" t="s">
        <v>77</v>
      </c>
      <c r="F197" s="187"/>
      <c r="G197" s="17">
        <v>244</v>
      </c>
      <c r="H197" s="46">
        <v>1620.1</v>
      </c>
      <c r="I197" s="83"/>
      <c r="J197" s="84"/>
      <c r="K197" s="37"/>
      <c r="L197" s="55">
        <f>H197+95.5</f>
        <v>1715.6</v>
      </c>
      <c r="M197" s="56"/>
      <c r="N197" s="47"/>
      <c r="O197" s="57">
        <f>L197+29</f>
        <v>1744.6</v>
      </c>
    </row>
    <row r="198" spans="1:15" s="1" customFormat="1" ht="27" customHeight="1">
      <c r="A198" s="181" t="s">
        <v>15</v>
      </c>
      <c r="B198" s="181"/>
      <c r="C198" s="181"/>
      <c r="D198" s="17" t="s">
        <v>75</v>
      </c>
      <c r="E198" s="187" t="s">
        <v>77</v>
      </c>
      <c r="F198" s="187"/>
      <c r="G198" s="38" t="s">
        <v>14</v>
      </c>
      <c r="H198" s="59">
        <f>H199+H200</f>
        <v>11.9</v>
      </c>
      <c r="I198" s="132">
        <f>12500</f>
        <v>12500</v>
      </c>
      <c r="J198" s="132"/>
      <c r="K198" s="133"/>
      <c r="L198" s="55">
        <f t="shared" si="5"/>
        <v>12.5</v>
      </c>
      <c r="M198" s="137">
        <f>12500</f>
        <v>12500</v>
      </c>
      <c r="N198" s="138"/>
      <c r="O198" s="57">
        <f t="shared" si="6"/>
        <v>12.5</v>
      </c>
    </row>
    <row r="199" spans="1:15" s="1" customFormat="1" ht="27" customHeight="1">
      <c r="A199" s="178" t="s">
        <v>172</v>
      </c>
      <c r="B199" s="179"/>
      <c r="C199" s="180"/>
      <c r="D199" s="17" t="s">
        <v>75</v>
      </c>
      <c r="E199" s="187" t="s">
        <v>77</v>
      </c>
      <c r="F199" s="187"/>
      <c r="G199" s="38">
        <v>851</v>
      </c>
      <c r="H199" s="59">
        <v>8.8</v>
      </c>
      <c r="I199" s="84"/>
      <c r="J199" s="84"/>
      <c r="K199" s="37"/>
      <c r="L199" s="55">
        <v>9.2</v>
      </c>
      <c r="M199" s="47"/>
      <c r="N199" s="84"/>
      <c r="O199" s="57">
        <v>9.2</v>
      </c>
    </row>
    <row r="200" spans="1:15" s="1" customFormat="1" ht="27" customHeight="1">
      <c r="A200" s="178" t="s">
        <v>178</v>
      </c>
      <c r="B200" s="179"/>
      <c r="C200" s="180"/>
      <c r="D200" s="17" t="s">
        <v>75</v>
      </c>
      <c r="E200" s="187" t="s">
        <v>77</v>
      </c>
      <c r="F200" s="187"/>
      <c r="G200" s="38">
        <v>852</v>
      </c>
      <c r="H200" s="59">
        <v>3.1</v>
      </c>
      <c r="I200" s="84"/>
      <c r="J200" s="84"/>
      <c r="K200" s="37"/>
      <c r="L200" s="55">
        <v>3.3</v>
      </c>
      <c r="M200" s="47"/>
      <c r="N200" s="84"/>
      <c r="O200" s="57">
        <v>3.3</v>
      </c>
    </row>
    <row r="201" spans="1:15" s="7" customFormat="1" ht="38.25" customHeight="1">
      <c r="A201" s="148" t="s">
        <v>150</v>
      </c>
      <c r="B201" s="149"/>
      <c r="C201" s="150"/>
      <c r="D201" s="20"/>
      <c r="E201" s="146"/>
      <c r="F201" s="124"/>
      <c r="G201" s="32"/>
      <c r="H201" s="93">
        <f>H202+H207+H230</f>
        <v>18768.5</v>
      </c>
      <c r="I201" s="203">
        <v>15770000</v>
      </c>
      <c r="J201" s="203"/>
      <c r="K201" s="250"/>
      <c r="L201" s="94">
        <f t="shared" si="5"/>
        <v>15770</v>
      </c>
      <c r="M201" s="202">
        <v>16714000</v>
      </c>
      <c r="N201" s="203"/>
      <c r="O201" s="98">
        <f t="shared" si="6"/>
        <v>16714</v>
      </c>
    </row>
    <row r="202" spans="1:15" s="1" customFormat="1" ht="24.75" customHeight="1">
      <c r="A202" s="182" t="s">
        <v>139</v>
      </c>
      <c r="B202" s="182"/>
      <c r="C202" s="182"/>
      <c r="D202" s="25" t="s">
        <v>143</v>
      </c>
      <c r="E202" s="189"/>
      <c r="F202" s="189"/>
      <c r="G202" s="25"/>
      <c r="H202" s="91">
        <f>H203</f>
        <v>200</v>
      </c>
      <c r="I202" s="163">
        <f>220000</f>
        <v>220000</v>
      </c>
      <c r="J202" s="164"/>
      <c r="K202" s="165"/>
      <c r="L202" s="67">
        <f t="shared" si="5"/>
        <v>220</v>
      </c>
      <c r="M202" s="166">
        <f>240000</f>
        <v>240000</v>
      </c>
      <c r="N202" s="147"/>
      <c r="O202" s="90">
        <f>M202/1000</f>
        <v>240</v>
      </c>
    </row>
    <row r="203" spans="1:15" s="1" customFormat="1" ht="31.5" customHeight="1">
      <c r="A203" s="183" t="s">
        <v>80</v>
      </c>
      <c r="B203" s="183"/>
      <c r="C203" s="183"/>
      <c r="D203" s="19" t="s">
        <v>79</v>
      </c>
      <c r="E203" s="188"/>
      <c r="F203" s="188"/>
      <c r="G203" s="15"/>
      <c r="H203" s="66">
        <f>H204</f>
        <v>200</v>
      </c>
      <c r="I203" s="141">
        <f>220000</f>
        <v>220000</v>
      </c>
      <c r="J203" s="142"/>
      <c r="K203" s="143"/>
      <c r="L203" s="51">
        <f t="shared" si="5"/>
        <v>220</v>
      </c>
      <c r="M203" s="139">
        <f>240000</f>
        <v>240000</v>
      </c>
      <c r="N203" s="140"/>
      <c r="O203" s="92">
        <f t="shared" si="6"/>
        <v>240</v>
      </c>
    </row>
    <row r="204" spans="1:15" s="1" customFormat="1" ht="30.75" customHeight="1">
      <c r="A204" s="181" t="s">
        <v>82</v>
      </c>
      <c r="B204" s="181"/>
      <c r="C204" s="181"/>
      <c r="D204" s="17" t="s">
        <v>79</v>
      </c>
      <c r="E204" s="187" t="s">
        <v>81</v>
      </c>
      <c r="F204" s="187"/>
      <c r="G204" s="18"/>
      <c r="H204" s="37">
        <f>H205</f>
        <v>200</v>
      </c>
      <c r="I204" s="153">
        <f>220000</f>
        <v>220000</v>
      </c>
      <c r="J204" s="132"/>
      <c r="K204" s="133"/>
      <c r="L204" s="55">
        <f t="shared" si="5"/>
        <v>220</v>
      </c>
      <c r="M204" s="137">
        <f>240000</f>
        <v>240000</v>
      </c>
      <c r="N204" s="138"/>
      <c r="O204" s="57">
        <f t="shared" si="6"/>
        <v>240</v>
      </c>
    </row>
    <row r="205" spans="1:15" s="1" customFormat="1" ht="44.25" customHeight="1">
      <c r="A205" s="181" t="s">
        <v>12</v>
      </c>
      <c r="B205" s="181"/>
      <c r="C205" s="181"/>
      <c r="D205" s="17" t="s">
        <v>79</v>
      </c>
      <c r="E205" s="187" t="s">
        <v>81</v>
      </c>
      <c r="F205" s="187"/>
      <c r="G205" s="17" t="s">
        <v>11</v>
      </c>
      <c r="H205" s="37">
        <f>H206</f>
        <v>200</v>
      </c>
      <c r="I205" s="153">
        <f>220000</f>
        <v>220000</v>
      </c>
      <c r="J205" s="132"/>
      <c r="K205" s="133"/>
      <c r="L205" s="55">
        <f t="shared" si="5"/>
        <v>220</v>
      </c>
      <c r="M205" s="137">
        <f>240000</f>
        <v>240000</v>
      </c>
      <c r="N205" s="138"/>
      <c r="O205" s="57">
        <f t="shared" si="6"/>
        <v>240</v>
      </c>
    </row>
    <row r="206" spans="1:15" s="1" customFormat="1" ht="44.25" customHeight="1">
      <c r="A206" s="175" t="s">
        <v>171</v>
      </c>
      <c r="B206" s="176"/>
      <c r="C206" s="177"/>
      <c r="D206" s="17" t="s">
        <v>79</v>
      </c>
      <c r="E206" s="187" t="s">
        <v>81</v>
      </c>
      <c r="F206" s="187"/>
      <c r="G206" s="17">
        <v>244</v>
      </c>
      <c r="H206" s="37">
        <v>200</v>
      </c>
      <c r="I206" s="83"/>
      <c r="J206" s="84"/>
      <c r="K206" s="37"/>
      <c r="L206" s="55">
        <v>220</v>
      </c>
      <c r="M206" s="56"/>
      <c r="N206" s="47"/>
      <c r="O206" s="57">
        <v>240</v>
      </c>
    </row>
    <row r="207" spans="1:15" s="1" customFormat="1" ht="26.25" customHeight="1">
      <c r="A207" s="182" t="s">
        <v>140</v>
      </c>
      <c r="B207" s="182"/>
      <c r="C207" s="182"/>
      <c r="D207" s="25" t="s">
        <v>142</v>
      </c>
      <c r="E207" s="189"/>
      <c r="F207" s="189"/>
      <c r="G207" s="25"/>
      <c r="H207" s="63">
        <f>H208</f>
        <v>18368.5</v>
      </c>
      <c r="I207" s="163">
        <f>15300000</f>
        <v>15300000</v>
      </c>
      <c r="J207" s="164"/>
      <c r="K207" s="165"/>
      <c r="L207" s="67">
        <f t="shared" si="5"/>
        <v>15300</v>
      </c>
      <c r="M207" s="166">
        <f>16200000</f>
        <v>16200000</v>
      </c>
      <c r="N207" s="147"/>
      <c r="O207" s="90">
        <f>M207/1000</f>
        <v>16200</v>
      </c>
    </row>
    <row r="208" spans="1:15" s="1" customFormat="1" ht="25.5" customHeight="1">
      <c r="A208" s="183" t="s">
        <v>84</v>
      </c>
      <c r="B208" s="183"/>
      <c r="C208" s="183"/>
      <c r="D208" s="19" t="s">
        <v>83</v>
      </c>
      <c r="E208" s="188"/>
      <c r="F208" s="188"/>
      <c r="G208" s="15"/>
      <c r="H208" s="66">
        <f>H209+H221+H224+H227</f>
        <v>18368.5</v>
      </c>
      <c r="I208" s="141">
        <f>15300000</f>
        <v>15300000</v>
      </c>
      <c r="J208" s="142"/>
      <c r="K208" s="143"/>
      <c r="L208" s="51">
        <f t="shared" si="5"/>
        <v>15300</v>
      </c>
      <c r="M208" s="139">
        <f>16200000</f>
        <v>16200000</v>
      </c>
      <c r="N208" s="140"/>
      <c r="O208" s="92">
        <f t="shared" si="6"/>
        <v>16200</v>
      </c>
    </row>
    <row r="209" spans="1:15" s="1" customFormat="1" ht="33.75" customHeight="1">
      <c r="A209" s="181" t="s">
        <v>86</v>
      </c>
      <c r="B209" s="181"/>
      <c r="C209" s="181"/>
      <c r="D209" s="17" t="s">
        <v>83</v>
      </c>
      <c r="E209" s="187" t="s">
        <v>85</v>
      </c>
      <c r="F209" s="187"/>
      <c r="G209" s="18"/>
      <c r="H209" s="37">
        <f>H210+H213+H216+H218</f>
        <v>17214</v>
      </c>
      <c r="I209" s="153">
        <f>15300000</f>
        <v>15300000</v>
      </c>
      <c r="J209" s="132"/>
      <c r="K209" s="133"/>
      <c r="L209" s="55">
        <f t="shared" si="5"/>
        <v>15300</v>
      </c>
      <c r="M209" s="137">
        <f>16200000</f>
        <v>16200000</v>
      </c>
      <c r="N209" s="138"/>
      <c r="O209" s="57">
        <f t="shared" si="6"/>
        <v>16200</v>
      </c>
    </row>
    <row r="210" spans="1:15" s="1" customFormat="1" ht="33" customHeight="1">
      <c r="A210" s="181" t="s">
        <v>49</v>
      </c>
      <c r="B210" s="181"/>
      <c r="C210" s="181"/>
      <c r="D210" s="17" t="s">
        <v>83</v>
      </c>
      <c r="E210" s="187" t="s">
        <v>85</v>
      </c>
      <c r="F210" s="187"/>
      <c r="G210" s="17" t="s">
        <v>48</v>
      </c>
      <c r="H210" s="37">
        <f>H211+H212</f>
        <v>11384.699999999999</v>
      </c>
      <c r="I210" s="153">
        <f>12722000</f>
        <v>12722000</v>
      </c>
      <c r="J210" s="132"/>
      <c r="K210" s="133"/>
      <c r="L210" s="55">
        <f t="shared" si="5"/>
        <v>12722</v>
      </c>
      <c r="M210" s="137">
        <f>13358100</f>
        <v>13358100</v>
      </c>
      <c r="N210" s="138"/>
      <c r="O210" s="57">
        <f t="shared" si="6"/>
        <v>13358.1</v>
      </c>
    </row>
    <row r="211" spans="1:15" s="1" customFormat="1" ht="33" customHeight="1">
      <c r="A211" s="178" t="s">
        <v>176</v>
      </c>
      <c r="B211" s="179"/>
      <c r="C211" s="180"/>
      <c r="D211" s="17" t="s">
        <v>83</v>
      </c>
      <c r="E211" s="187" t="s">
        <v>85</v>
      </c>
      <c r="F211" s="187"/>
      <c r="G211" s="17">
        <v>111</v>
      </c>
      <c r="H211" s="37">
        <v>11230.8</v>
      </c>
      <c r="I211" s="83"/>
      <c r="J211" s="84"/>
      <c r="K211" s="37"/>
      <c r="L211" s="55">
        <v>12559</v>
      </c>
      <c r="M211" s="56"/>
      <c r="N211" s="47"/>
      <c r="O211" s="57">
        <v>13187</v>
      </c>
    </row>
    <row r="212" spans="1:15" s="1" customFormat="1" ht="33" customHeight="1">
      <c r="A212" s="178" t="s">
        <v>177</v>
      </c>
      <c r="B212" s="179"/>
      <c r="C212" s="180"/>
      <c r="D212" s="17" t="s">
        <v>83</v>
      </c>
      <c r="E212" s="187" t="s">
        <v>85</v>
      </c>
      <c r="F212" s="187"/>
      <c r="G212" s="17">
        <v>112</v>
      </c>
      <c r="H212" s="37">
        <v>153.9</v>
      </c>
      <c r="I212" s="83"/>
      <c r="J212" s="84"/>
      <c r="K212" s="37"/>
      <c r="L212" s="55">
        <f>L210-L211</f>
        <v>163</v>
      </c>
      <c r="M212" s="56"/>
      <c r="N212" s="47"/>
      <c r="O212" s="57">
        <f>O210-O211</f>
        <v>171.10000000000036</v>
      </c>
    </row>
    <row r="213" spans="1:15" s="1" customFormat="1" ht="43.5" customHeight="1">
      <c r="A213" s="181" t="s">
        <v>12</v>
      </c>
      <c r="B213" s="181"/>
      <c r="C213" s="181"/>
      <c r="D213" s="17" t="s">
        <v>83</v>
      </c>
      <c r="E213" s="187" t="s">
        <v>85</v>
      </c>
      <c r="F213" s="187"/>
      <c r="G213" s="17" t="s">
        <v>11</v>
      </c>
      <c r="H213" s="37">
        <f>H214+H215</f>
        <v>5783.1</v>
      </c>
      <c r="I213" s="153">
        <f>2573000</f>
        <v>2573000</v>
      </c>
      <c r="J213" s="132"/>
      <c r="K213" s="133"/>
      <c r="L213" s="55">
        <f t="shared" si="5"/>
        <v>2573</v>
      </c>
      <c r="M213" s="137">
        <f>2836900</f>
        <v>2836900</v>
      </c>
      <c r="N213" s="138"/>
      <c r="O213" s="57">
        <f t="shared" si="6"/>
        <v>2836.9</v>
      </c>
    </row>
    <row r="214" spans="1:15" s="1" customFormat="1" ht="43.5" customHeight="1">
      <c r="A214" s="175" t="s">
        <v>170</v>
      </c>
      <c r="B214" s="176"/>
      <c r="C214" s="177"/>
      <c r="D214" s="17" t="s">
        <v>83</v>
      </c>
      <c r="E214" s="187" t="s">
        <v>85</v>
      </c>
      <c r="F214" s="187"/>
      <c r="G214" s="17">
        <v>242</v>
      </c>
      <c r="H214" s="37">
        <v>131.6</v>
      </c>
      <c r="I214" s="83"/>
      <c r="J214" s="84"/>
      <c r="K214" s="37"/>
      <c r="L214" s="55">
        <v>126</v>
      </c>
      <c r="M214" s="56"/>
      <c r="N214" s="47"/>
      <c r="O214" s="57">
        <v>140</v>
      </c>
    </row>
    <row r="215" spans="1:15" s="1" customFormat="1" ht="42" customHeight="1">
      <c r="A215" s="175" t="s">
        <v>171</v>
      </c>
      <c r="B215" s="176"/>
      <c r="C215" s="177"/>
      <c r="D215" s="17" t="s">
        <v>83</v>
      </c>
      <c r="E215" s="187" t="s">
        <v>85</v>
      </c>
      <c r="F215" s="187"/>
      <c r="G215" s="17">
        <v>244</v>
      </c>
      <c r="H215" s="37">
        <v>5651.5</v>
      </c>
      <c r="I215" s="83"/>
      <c r="J215" s="84"/>
      <c r="K215" s="37"/>
      <c r="L215" s="55">
        <f>L213-L214</f>
        <v>2447</v>
      </c>
      <c r="M215" s="56"/>
      <c r="N215" s="47"/>
      <c r="O215" s="57">
        <f>O213-O214</f>
        <v>2696.9</v>
      </c>
    </row>
    <row r="216" spans="1:15" s="1" customFormat="1" ht="24" customHeight="1">
      <c r="A216" s="181" t="s">
        <v>15</v>
      </c>
      <c r="B216" s="181"/>
      <c r="C216" s="181"/>
      <c r="D216" s="17" t="s">
        <v>83</v>
      </c>
      <c r="E216" s="187" t="s">
        <v>85</v>
      </c>
      <c r="F216" s="187"/>
      <c r="G216" s="17" t="s">
        <v>14</v>
      </c>
      <c r="H216" s="37">
        <f>H217</f>
        <v>4</v>
      </c>
      <c r="I216" s="153">
        <f>5000</f>
        <v>5000</v>
      </c>
      <c r="J216" s="132"/>
      <c r="K216" s="133"/>
      <c r="L216" s="55">
        <f t="shared" si="5"/>
        <v>5</v>
      </c>
      <c r="M216" s="137">
        <f>5000</f>
        <v>5000</v>
      </c>
      <c r="N216" s="138"/>
      <c r="O216" s="57">
        <f t="shared" si="6"/>
        <v>5</v>
      </c>
    </row>
    <row r="217" spans="1:15" s="1" customFormat="1" ht="33" customHeight="1">
      <c r="A217" s="178" t="s">
        <v>172</v>
      </c>
      <c r="B217" s="179"/>
      <c r="C217" s="180"/>
      <c r="D217" s="17" t="s">
        <v>83</v>
      </c>
      <c r="E217" s="187" t="s">
        <v>85</v>
      </c>
      <c r="F217" s="187"/>
      <c r="G217" s="17">
        <v>851</v>
      </c>
      <c r="H217" s="37">
        <v>4</v>
      </c>
      <c r="I217" s="83"/>
      <c r="J217" s="84"/>
      <c r="K217" s="37"/>
      <c r="L217" s="55">
        <v>5</v>
      </c>
      <c r="M217" s="56"/>
      <c r="N217" s="47"/>
      <c r="O217" s="57">
        <v>5</v>
      </c>
    </row>
    <row r="218" spans="1:15" s="1" customFormat="1" ht="57.75" customHeight="1">
      <c r="A218" s="284" t="s">
        <v>186</v>
      </c>
      <c r="B218" s="284"/>
      <c r="C218" s="290"/>
      <c r="D218" s="18" t="s">
        <v>83</v>
      </c>
      <c r="E218" s="288" t="s">
        <v>185</v>
      </c>
      <c r="F218" s="289"/>
      <c r="G218" s="17"/>
      <c r="H218" s="37">
        <f>H219</f>
        <v>42.2</v>
      </c>
      <c r="I218" s="83"/>
      <c r="J218" s="84"/>
      <c r="K218" s="37"/>
      <c r="L218" s="55">
        <f>L219</f>
        <v>0</v>
      </c>
      <c r="M218" s="56"/>
      <c r="N218" s="47"/>
      <c r="O218" s="57">
        <f>O219</f>
        <v>0</v>
      </c>
    </row>
    <row r="219" spans="1:15" s="1" customFormat="1" ht="24" customHeight="1">
      <c r="A219" s="181" t="s">
        <v>49</v>
      </c>
      <c r="B219" s="181"/>
      <c r="C219" s="181"/>
      <c r="D219" s="18" t="s">
        <v>83</v>
      </c>
      <c r="E219" s="288" t="s">
        <v>185</v>
      </c>
      <c r="F219" s="289"/>
      <c r="G219" s="17">
        <v>110</v>
      </c>
      <c r="H219" s="37">
        <f>H220</f>
        <v>42.2</v>
      </c>
      <c r="I219" s="83"/>
      <c r="J219" s="84"/>
      <c r="K219" s="37"/>
      <c r="L219" s="55">
        <f>L220</f>
        <v>0</v>
      </c>
      <c r="M219" s="56"/>
      <c r="N219" s="47"/>
      <c r="O219" s="57">
        <f>O220</f>
        <v>0</v>
      </c>
    </row>
    <row r="220" spans="1:15" s="1" customFormat="1" ht="32.25" customHeight="1">
      <c r="A220" s="178" t="s">
        <v>176</v>
      </c>
      <c r="B220" s="179"/>
      <c r="C220" s="180"/>
      <c r="D220" s="18" t="s">
        <v>83</v>
      </c>
      <c r="E220" s="288" t="s">
        <v>185</v>
      </c>
      <c r="F220" s="289"/>
      <c r="G220" s="17">
        <v>111</v>
      </c>
      <c r="H220" s="37">
        <v>42.2</v>
      </c>
      <c r="I220" s="83"/>
      <c r="J220" s="84"/>
      <c r="K220" s="37"/>
      <c r="L220" s="55">
        <v>0</v>
      </c>
      <c r="M220" s="56"/>
      <c r="N220" s="47"/>
      <c r="O220" s="57">
        <v>0</v>
      </c>
    </row>
    <row r="221" spans="1:15" s="1" customFormat="1" ht="36" customHeight="1">
      <c r="A221" s="284" t="s">
        <v>182</v>
      </c>
      <c r="B221" s="284"/>
      <c r="C221" s="290"/>
      <c r="D221" s="18" t="s">
        <v>83</v>
      </c>
      <c r="E221" s="288" t="s">
        <v>187</v>
      </c>
      <c r="F221" s="289"/>
      <c r="G221" s="17"/>
      <c r="H221" s="37">
        <f>H222</f>
        <v>724.5</v>
      </c>
      <c r="I221" s="83"/>
      <c r="J221" s="84"/>
      <c r="K221" s="37"/>
      <c r="L221" s="55">
        <f>L222</f>
        <v>0</v>
      </c>
      <c r="M221" s="56"/>
      <c r="N221" s="47"/>
      <c r="O221" s="57">
        <f>O222</f>
        <v>0</v>
      </c>
    </row>
    <row r="222" spans="1:15" s="1" customFormat="1" ht="30" customHeight="1">
      <c r="A222" s="181" t="s">
        <v>12</v>
      </c>
      <c r="B222" s="181"/>
      <c r="C222" s="181"/>
      <c r="D222" s="18" t="s">
        <v>83</v>
      </c>
      <c r="E222" s="288" t="s">
        <v>187</v>
      </c>
      <c r="F222" s="289"/>
      <c r="G222" s="17">
        <v>240</v>
      </c>
      <c r="H222" s="37">
        <f>H223</f>
        <v>724.5</v>
      </c>
      <c r="I222" s="83"/>
      <c r="J222" s="84"/>
      <c r="K222" s="37"/>
      <c r="L222" s="55">
        <f>L223</f>
        <v>0</v>
      </c>
      <c r="M222" s="56"/>
      <c r="N222" s="47"/>
      <c r="O222" s="57">
        <f>O223</f>
        <v>0</v>
      </c>
    </row>
    <row r="223" spans="1:15" s="1" customFormat="1" ht="27.75" customHeight="1">
      <c r="A223" s="175" t="s">
        <v>171</v>
      </c>
      <c r="B223" s="176"/>
      <c r="C223" s="177"/>
      <c r="D223" s="18" t="s">
        <v>83</v>
      </c>
      <c r="E223" s="288" t="s">
        <v>187</v>
      </c>
      <c r="F223" s="289"/>
      <c r="G223" s="17">
        <v>244</v>
      </c>
      <c r="H223" s="37">
        <v>724.5</v>
      </c>
      <c r="I223" s="83"/>
      <c r="J223" s="84"/>
      <c r="K223" s="37"/>
      <c r="L223" s="55">
        <v>0</v>
      </c>
      <c r="M223" s="56"/>
      <c r="N223" s="47"/>
      <c r="O223" s="57">
        <v>0</v>
      </c>
    </row>
    <row r="224" spans="1:15" s="1" customFormat="1" ht="35.25" customHeight="1">
      <c r="A224" s="284" t="s">
        <v>189</v>
      </c>
      <c r="B224" s="284"/>
      <c r="C224" s="290"/>
      <c r="D224" s="18" t="s">
        <v>83</v>
      </c>
      <c r="E224" s="288" t="s">
        <v>188</v>
      </c>
      <c r="F224" s="289"/>
      <c r="G224" s="17"/>
      <c r="H224" s="37">
        <f>H225</f>
        <v>50</v>
      </c>
      <c r="I224" s="83"/>
      <c r="J224" s="84"/>
      <c r="K224" s="37"/>
      <c r="L224" s="55">
        <f>L225</f>
        <v>0</v>
      </c>
      <c r="M224" s="56"/>
      <c r="N224" s="47"/>
      <c r="O224" s="57">
        <f>O225</f>
        <v>0</v>
      </c>
    </row>
    <row r="225" spans="1:15" s="1" customFormat="1" ht="24" customHeight="1">
      <c r="A225" s="181" t="s">
        <v>49</v>
      </c>
      <c r="B225" s="181"/>
      <c r="C225" s="181"/>
      <c r="D225" s="18" t="s">
        <v>83</v>
      </c>
      <c r="E225" s="288" t="s">
        <v>188</v>
      </c>
      <c r="F225" s="289"/>
      <c r="G225" s="17">
        <v>110</v>
      </c>
      <c r="H225" s="37">
        <f>H226</f>
        <v>50</v>
      </c>
      <c r="I225" s="83"/>
      <c r="J225" s="84"/>
      <c r="K225" s="37"/>
      <c r="L225" s="55">
        <f>L226</f>
        <v>0</v>
      </c>
      <c r="M225" s="56"/>
      <c r="N225" s="47"/>
      <c r="O225" s="57">
        <f>O226</f>
        <v>0</v>
      </c>
    </row>
    <row r="226" spans="1:15" s="1" customFormat="1" ht="30.75" customHeight="1">
      <c r="A226" s="178" t="s">
        <v>176</v>
      </c>
      <c r="B226" s="179"/>
      <c r="C226" s="180"/>
      <c r="D226" s="18" t="s">
        <v>83</v>
      </c>
      <c r="E226" s="288" t="s">
        <v>188</v>
      </c>
      <c r="F226" s="289"/>
      <c r="G226" s="17">
        <v>111</v>
      </c>
      <c r="H226" s="37">
        <v>50</v>
      </c>
      <c r="I226" s="83"/>
      <c r="J226" s="84"/>
      <c r="K226" s="37"/>
      <c r="L226" s="55">
        <v>0</v>
      </c>
      <c r="M226" s="56"/>
      <c r="N226" s="47"/>
      <c r="O226" s="57">
        <v>0</v>
      </c>
    </row>
    <row r="227" spans="1:15" s="1" customFormat="1" ht="56.25" customHeight="1">
      <c r="A227" s="284" t="s">
        <v>191</v>
      </c>
      <c r="B227" s="284"/>
      <c r="C227" s="290"/>
      <c r="D227" s="18" t="s">
        <v>83</v>
      </c>
      <c r="E227" s="288" t="s">
        <v>190</v>
      </c>
      <c r="F227" s="289"/>
      <c r="G227" s="17"/>
      <c r="H227" s="37">
        <f>H228</f>
        <v>380</v>
      </c>
      <c r="I227" s="83"/>
      <c r="J227" s="84"/>
      <c r="K227" s="37"/>
      <c r="L227" s="55">
        <f>L228</f>
        <v>0</v>
      </c>
      <c r="M227" s="56"/>
      <c r="N227" s="47"/>
      <c r="O227" s="57">
        <f>O228</f>
        <v>0</v>
      </c>
    </row>
    <row r="228" spans="1:15" s="1" customFormat="1" ht="24" customHeight="1">
      <c r="A228" s="181" t="s">
        <v>49</v>
      </c>
      <c r="B228" s="181"/>
      <c r="C228" s="181"/>
      <c r="D228" s="18" t="s">
        <v>83</v>
      </c>
      <c r="E228" s="288" t="s">
        <v>190</v>
      </c>
      <c r="F228" s="289"/>
      <c r="G228" s="17">
        <v>110</v>
      </c>
      <c r="H228" s="37">
        <f>H229</f>
        <v>380</v>
      </c>
      <c r="I228" s="83"/>
      <c r="J228" s="84"/>
      <c r="K228" s="37"/>
      <c r="L228" s="55">
        <f>L229</f>
        <v>0</v>
      </c>
      <c r="M228" s="56"/>
      <c r="N228" s="47"/>
      <c r="O228" s="57">
        <f>O229</f>
        <v>0</v>
      </c>
    </row>
    <row r="229" spans="1:15" s="1" customFormat="1" ht="32.25" customHeight="1">
      <c r="A229" s="178" t="s">
        <v>176</v>
      </c>
      <c r="B229" s="179"/>
      <c r="C229" s="180"/>
      <c r="D229" s="18" t="s">
        <v>83</v>
      </c>
      <c r="E229" s="288" t="s">
        <v>190</v>
      </c>
      <c r="F229" s="289"/>
      <c r="G229" s="17">
        <v>111</v>
      </c>
      <c r="H229" s="37">
        <v>380</v>
      </c>
      <c r="I229" s="83"/>
      <c r="J229" s="84"/>
      <c r="K229" s="37"/>
      <c r="L229" s="55">
        <v>0</v>
      </c>
      <c r="M229" s="56"/>
      <c r="N229" s="47"/>
      <c r="O229" s="57">
        <v>0</v>
      </c>
    </row>
    <row r="230" spans="1:15" s="1" customFormat="1" ht="24" customHeight="1">
      <c r="A230" s="182" t="s">
        <v>141</v>
      </c>
      <c r="B230" s="182"/>
      <c r="C230" s="182"/>
      <c r="D230" s="25" t="s">
        <v>144</v>
      </c>
      <c r="E230" s="189"/>
      <c r="F230" s="189"/>
      <c r="G230" s="25"/>
      <c r="H230" s="63">
        <f>H231</f>
        <v>200</v>
      </c>
      <c r="I230" s="163">
        <f>250000</f>
        <v>250000</v>
      </c>
      <c r="J230" s="164"/>
      <c r="K230" s="165"/>
      <c r="L230" s="67">
        <f t="shared" si="5"/>
        <v>250</v>
      </c>
      <c r="M230" s="166">
        <f>274000</f>
        <v>274000</v>
      </c>
      <c r="N230" s="147"/>
      <c r="O230" s="90">
        <f>M230/1000</f>
        <v>274</v>
      </c>
    </row>
    <row r="231" spans="1:15" s="1" customFormat="1" ht="19.5" customHeight="1">
      <c r="A231" s="183" t="s">
        <v>102</v>
      </c>
      <c r="B231" s="183"/>
      <c r="C231" s="183"/>
      <c r="D231" s="19" t="s">
        <v>101</v>
      </c>
      <c r="E231" s="188"/>
      <c r="F231" s="188"/>
      <c r="G231" s="15"/>
      <c r="H231" s="66">
        <f>H232</f>
        <v>200</v>
      </c>
      <c r="I231" s="141">
        <f>250000</f>
        <v>250000</v>
      </c>
      <c r="J231" s="142"/>
      <c r="K231" s="143"/>
      <c r="L231" s="51">
        <f t="shared" si="5"/>
        <v>250</v>
      </c>
      <c r="M231" s="139">
        <f>274000</f>
        <v>274000</v>
      </c>
      <c r="N231" s="140"/>
      <c r="O231" s="54">
        <f t="shared" si="6"/>
        <v>274</v>
      </c>
    </row>
    <row r="232" spans="1:15" s="1" customFormat="1" ht="35.25" customHeight="1">
      <c r="A232" s="181" t="s">
        <v>103</v>
      </c>
      <c r="B232" s="181"/>
      <c r="C232" s="181"/>
      <c r="D232" s="17" t="s">
        <v>101</v>
      </c>
      <c r="E232" s="187">
        <v>5101000</v>
      </c>
      <c r="F232" s="187"/>
      <c r="G232" s="122"/>
      <c r="H232" s="46">
        <f>H233</f>
        <v>200</v>
      </c>
      <c r="I232" s="153">
        <f>250000</f>
        <v>250000</v>
      </c>
      <c r="J232" s="132"/>
      <c r="K232" s="133"/>
      <c r="L232" s="55">
        <f t="shared" si="5"/>
        <v>250</v>
      </c>
      <c r="M232" s="137">
        <f>274000</f>
        <v>274000</v>
      </c>
      <c r="N232" s="138"/>
      <c r="O232" s="57">
        <f t="shared" si="6"/>
        <v>274</v>
      </c>
    </row>
    <row r="233" spans="1:16" s="1" customFormat="1" ht="46.5" customHeight="1" thickBot="1">
      <c r="A233" s="192" t="s">
        <v>12</v>
      </c>
      <c r="B233" s="192"/>
      <c r="C233" s="192"/>
      <c r="D233" s="21" t="s">
        <v>101</v>
      </c>
      <c r="E233" s="190">
        <v>5101000</v>
      </c>
      <c r="F233" s="191"/>
      <c r="G233" s="30" t="s">
        <v>11</v>
      </c>
      <c r="H233" s="59">
        <f>H234</f>
        <v>200</v>
      </c>
      <c r="I233" s="255">
        <f>250000</f>
        <v>250000</v>
      </c>
      <c r="J233" s="255"/>
      <c r="K233" s="256"/>
      <c r="L233" s="55">
        <f t="shared" si="5"/>
        <v>250</v>
      </c>
      <c r="M233" s="137">
        <f>274000</f>
        <v>274000</v>
      </c>
      <c r="N233" s="138"/>
      <c r="O233" s="57">
        <f t="shared" si="6"/>
        <v>274</v>
      </c>
      <c r="P233" s="27"/>
    </row>
    <row r="234" spans="1:16" s="1" customFormat="1" ht="46.5" customHeight="1" thickBot="1">
      <c r="A234" s="175" t="s">
        <v>171</v>
      </c>
      <c r="B234" s="176"/>
      <c r="C234" s="177"/>
      <c r="D234" s="21" t="s">
        <v>101</v>
      </c>
      <c r="E234" s="190">
        <v>5101000</v>
      </c>
      <c r="F234" s="191"/>
      <c r="G234" s="30">
        <v>244</v>
      </c>
      <c r="H234" s="59">
        <v>200</v>
      </c>
      <c r="I234" s="118"/>
      <c r="J234" s="118"/>
      <c r="K234" s="119"/>
      <c r="L234" s="55">
        <v>250</v>
      </c>
      <c r="M234" s="120"/>
      <c r="N234" s="121"/>
      <c r="O234" s="57">
        <v>274</v>
      </c>
      <c r="P234" s="27"/>
    </row>
    <row r="235" spans="1:15" s="1" customFormat="1" ht="15" customHeight="1" thickBot="1">
      <c r="A235" s="210" t="s">
        <v>145</v>
      </c>
      <c r="B235" s="211"/>
      <c r="C235" s="212"/>
      <c r="D235" s="22"/>
      <c r="E235" s="213"/>
      <c r="F235" s="214"/>
      <c r="G235" s="22"/>
      <c r="H235" s="291">
        <f>H16+H19+H32+H35+H42+H45+H68+H72+H77+H102+H111+H129+H137+H162+H166+H171+H176+H190+H203+H208+H231</f>
        <v>142258.8</v>
      </c>
      <c r="I235" s="251">
        <f>I16+I19+I32+I45+I68+I72+I77+I111+I129+I137+I162+I166+I171+I176+I190+I202+I207+I230</f>
        <v>98782200</v>
      </c>
      <c r="J235" s="251"/>
      <c r="K235" s="252"/>
      <c r="L235" s="23">
        <f t="shared" si="5"/>
        <v>98782.2</v>
      </c>
      <c r="M235" s="253">
        <f>M16+M19+M32+M35+M45+M68+M72+M77+M111+M129+M137+M162+M166+M171+M176+M190+M202+M208+M231</f>
        <v>102041800</v>
      </c>
      <c r="N235" s="254"/>
      <c r="O235" s="13">
        <f t="shared" si="6"/>
        <v>102041.8</v>
      </c>
    </row>
    <row r="237" ht="12.75">
      <c r="N237" s="29"/>
    </row>
    <row r="238" ht="12.75">
      <c r="N238" s="29"/>
    </row>
  </sheetData>
  <sheetProtection/>
  <mergeCells count="676">
    <mergeCell ref="A229:C229"/>
    <mergeCell ref="E229:F229"/>
    <mergeCell ref="A64:C64"/>
    <mergeCell ref="E64:F64"/>
    <mergeCell ref="A65:C65"/>
    <mergeCell ref="E65:F65"/>
    <mergeCell ref="A66:C66"/>
    <mergeCell ref="E66:F66"/>
    <mergeCell ref="A227:C227"/>
    <mergeCell ref="E227:F227"/>
    <mergeCell ref="A228:C228"/>
    <mergeCell ref="E228:F228"/>
    <mergeCell ref="A225:C225"/>
    <mergeCell ref="E225:F225"/>
    <mergeCell ref="A226:C226"/>
    <mergeCell ref="E226:F226"/>
    <mergeCell ref="A223:C223"/>
    <mergeCell ref="E223:F223"/>
    <mergeCell ref="A224:C224"/>
    <mergeCell ref="E224:F224"/>
    <mergeCell ref="A221:C221"/>
    <mergeCell ref="E221:F221"/>
    <mergeCell ref="A222:C222"/>
    <mergeCell ref="E222:F222"/>
    <mergeCell ref="A219:C219"/>
    <mergeCell ref="E219:F219"/>
    <mergeCell ref="A220:C220"/>
    <mergeCell ref="E220:F220"/>
    <mergeCell ref="A158:C158"/>
    <mergeCell ref="E158:F158"/>
    <mergeCell ref="A218:C218"/>
    <mergeCell ref="E218:F218"/>
    <mergeCell ref="A159:C159"/>
    <mergeCell ref="E159:F159"/>
    <mergeCell ref="A160:C160"/>
    <mergeCell ref="E160:F160"/>
    <mergeCell ref="A93:C93"/>
    <mergeCell ref="E93:F93"/>
    <mergeCell ref="A96:C96"/>
    <mergeCell ref="E96:F96"/>
    <mergeCell ref="A98:C98"/>
    <mergeCell ref="A100:C100"/>
    <mergeCell ref="A101:C101"/>
    <mergeCell ref="E94:F94"/>
    <mergeCell ref="E95:F95"/>
    <mergeCell ref="E97:F97"/>
    <mergeCell ref="E100:F100"/>
    <mergeCell ref="E98:F98"/>
    <mergeCell ref="E101:F101"/>
    <mergeCell ref="A99:C99"/>
    <mergeCell ref="A120:C120"/>
    <mergeCell ref="E117:F117"/>
    <mergeCell ref="E118:F118"/>
    <mergeCell ref="E120:F120"/>
    <mergeCell ref="A117:C117"/>
    <mergeCell ref="A118:C118"/>
    <mergeCell ref="E103:F103"/>
    <mergeCell ref="E104:F104"/>
    <mergeCell ref="E105:F105"/>
    <mergeCell ref="A114:C114"/>
    <mergeCell ref="A108:C108"/>
    <mergeCell ref="E44:F44"/>
    <mergeCell ref="A81:C81"/>
    <mergeCell ref="E81:F81"/>
    <mergeCell ref="E54:F54"/>
    <mergeCell ref="E59:F59"/>
    <mergeCell ref="E45:F45"/>
    <mergeCell ref="E68:F68"/>
    <mergeCell ref="E60:F60"/>
    <mergeCell ref="E70:F70"/>
    <mergeCell ref="A72:C72"/>
    <mergeCell ref="E42:F42"/>
    <mergeCell ref="A88:C88"/>
    <mergeCell ref="A89:C89"/>
    <mergeCell ref="E88:F88"/>
    <mergeCell ref="E89:F89"/>
    <mergeCell ref="E48:F48"/>
    <mergeCell ref="E50:F50"/>
    <mergeCell ref="E58:F58"/>
    <mergeCell ref="E51:F51"/>
    <mergeCell ref="E43:F43"/>
    <mergeCell ref="A150:C150"/>
    <mergeCell ref="E150:F150"/>
    <mergeCell ref="A121:C121"/>
    <mergeCell ref="E121:F121"/>
    <mergeCell ref="B4:O9"/>
    <mergeCell ref="I189:K189"/>
    <mergeCell ref="I173:K173"/>
    <mergeCell ref="I172:K172"/>
    <mergeCell ref="I171:K171"/>
    <mergeCell ref="I169:K169"/>
    <mergeCell ref="I168:K168"/>
    <mergeCell ref="I162:K162"/>
    <mergeCell ref="A155:C155"/>
    <mergeCell ref="E155:F155"/>
    <mergeCell ref="I231:K231"/>
    <mergeCell ref="M231:N231"/>
    <mergeCell ref="E216:F216"/>
    <mergeCell ref="I216:K216"/>
    <mergeCell ref="M216:N216"/>
    <mergeCell ref="I235:K235"/>
    <mergeCell ref="M235:N235"/>
    <mergeCell ref="M233:N233"/>
    <mergeCell ref="E232:F232"/>
    <mergeCell ref="I232:K232"/>
    <mergeCell ref="M232:N232"/>
    <mergeCell ref="E233:F233"/>
    <mergeCell ref="I233:K233"/>
    <mergeCell ref="E213:F213"/>
    <mergeCell ref="I213:K213"/>
    <mergeCell ref="M213:N213"/>
    <mergeCell ref="E210:F210"/>
    <mergeCell ref="I210:K210"/>
    <mergeCell ref="M210:N210"/>
    <mergeCell ref="E211:F211"/>
    <mergeCell ref="E212:F212"/>
    <mergeCell ref="E209:F209"/>
    <mergeCell ref="I209:K209"/>
    <mergeCell ref="M209:N209"/>
    <mergeCell ref="E208:F208"/>
    <mergeCell ref="I208:K208"/>
    <mergeCell ref="M208:N208"/>
    <mergeCell ref="I205:K205"/>
    <mergeCell ref="M205:N205"/>
    <mergeCell ref="E204:F204"/>
    <mergeCell ref="I204:K204"/>
    <mergeCell ref="M204:N204"/>
    <mergeCell ref="I203:K203"/>
    <mergeCell ref="M203:N203"/>
    <mergeCell ref="E198:F198"/>
    <mergeCell ref="I198:K198"/>
    <mergeCell ref="M198:N198"/>
    <mergeCell ref="E201:F201"/>
    <mergeCell ref="I201:K201"/>
    <mergeCell ref="M201:N201"/>
    <mergeCell ref="I202:K202"/>
    <mergeCell ref="M202:N202"/>
    <mergeCell ref="I177:K177"/>
    <mergeCell ref="M177:N177"/>
    <mergeCell ref="E176:F176"/>
    <mergeCell ref="M176:N176"/>
    <mergeCell ref="I176:K176"/>
    <mergeCell ref="M55:N55"/>
    <mergeCell ref="M57:N57"/>
    <mergeCell ref="M58:N58"/>
    <mergeCell ref="M124:N124"/>
    <mergeCell ref="M78:N78"/>
    <mergeCell ref="M59:N59"/>
    <mergeCell ref="M68:N68"/>
    <mergeCell ref="M60:N60"/>
    <mergeCell ref="M70:N70"/>
    <mergeCell ref="M86:N86"/>
    <mergeCell ref="M48:N48"/>
    <mergeCell ref="M50:N50"/>
    <mergeCell ref="M51:N51"/>
    <mergeCell ref="M54:N54"/>
    <mergeCell ref="I47:K47"/>
    <mergeCell ref="I48:K48"/>
    <mergeCell ref="I21:K21"/>
    <mergeCell ref="I51:K51"/>
    <mergeCell ref="I45:K45"/>
    <mergeCell ref="I30:K30"/>
    <mergeCell ref="I33:K33"/>
    <mergeCell ref="I35:K35"/>
    <mergeCell ref="I40:K40"/>
    <mergeCell ref="I46:K46"/>
    <mergeCell ref="I58:K58"/>
    <mergeCell ref="I124:K124"/>
    <mergeCell ref="I57:K57"/>
    <mergeCell ref="I78:K78"/>
    <mergeCell ref="I59:K59"/>
    <mergeCell ref="I68:K68"/>
    <mergeCell ref="I60:K60"/>
    <mergeCell ref="I70:K70"/>
    <mergeCell ref="I86:K86"/>
    <mergeCell ref="I69:K69"/>
    <mergeCell ref="I13:K13"/>
    <mergeCell ref="M13:N13"/>
    <mergeCell ref="E46:F46"/>
    <mergeCell ref="E47:F47"/>
    <mergeCell ref="M46:N46"/>
    <mergeCell ref="M47:N47"/>
    <mergeCell ref="E16:F16"/>
    <mergeCell ref="E21:F21"/>
    <mergeCell ref="E18:F18"/>
    <mergeCell ref="I18:K18"/>
    <mergeCell ref="E14:F14"/>
    <mergeCell ref="I14:K14"/>
    <mergeCell ref="M14:N14"/>
    <mergeCell ref="M18:N18"/>
    <mergeCell ref="E17:F17"/>
    <mergeCell ref="I17:K17"/>
    <mergeCell ref="M17:N17"/>
    <mergeCell ref="I16:K16"/>
    <mergeCell ref="M21:N21"/>
    <mergeCell ref="E15:F15"/>
    <mergeCell ref="I15:K15"/>
    <mergeCell ref="E20:F20"/>
    <mergeCell ref="I20:K20"/>
    <mergeCell ref="M20:N20"/>
    <mergeCell ref="E19:F19"/>
    <mergeCell ref="I19:K19"/>
    <mergeCell ref="M19:N19"/>
    <mergeCell ref="M16:N16"/>
    <mergeCell ref="E27:F27"/>
    <mergeCell ref="I27:K27"/>
    <mergeCell ref="M27:N27"/>
    <mergeCell ref="E24:F24"/>
    <mergeCell ref="I24:K24"/>
    <mergeCell ref="M24:N24"/>
    <mergeCell ref="M30:N30"/>
    <mergeCell ref="E29:F29"/>
    <mergeCell ref="I29:K29"/>
    <mergeCell ref="M29:N29"/>
    <mergeCell ref="M33:N33"/>
    <mergeCell ref="E32:F32"/>
    <mergeCell ref="I32:K32"/>
    <mergeCell ref="M32:N32"/>
    <mergeCell ref="M35:N35"/>
    <mergeCell ref="E34:F34"/>
    <mergeCell ref="I34:K34"/>
    <mergeCell ref="M34:N34"/>
    <mergeCell ref="M40:N40"/>
    <mergeCell ref="E39:F39"/>
    <mergeCell ref="I39:K39"/>
    <mergeCell ref="M39:N39"/>
    <mergeCell ref="M45:N45"/>
    <mergeCell ref="I50:K50"/>
    <mergeCell ref="E55:F55"/>
    <mergeCell ref="E57:F57"/>
    <mergeCell ref="I55:K55"/>
    <mergeCell ref="E49:F49"/>
    <mergeCell ref="E52:F52"/>
    <mergeCell ref="E53:F53"/>
    <mergeCell ref="E56:F56"/>
    <mergeCell ref="I54:K54"/>
    <mergeCell ref="M69:N69"/>
    <mergeCell ref="E73:F73"/>
    <mergeCell ref="I73:K73"/>
    <mergeCell ref="M73:N73"/>
    <mergeCell ref="E72:F72"/>
    <mergeCell ref="I72:K72"/>
    <mergeCell ref="M72:N72"/>
    <mergeCell ref="I77:K77"/>
    <mergeCell ref="M77:N77"/>
    <mergeCell ref="E74:F74"/>
    <mergeCell ref="I74:K74"/>
    <mergeCell ref="M74:N74"/>
    <mergeCell ref="M76:N76"/>
    <mergeCell ref="M112:N112"/>
    <mergeCell ref="E106:F106"/>
    <mergeCell ref="E109:F109"/>
    <mergeCell ref="I111:K111"/>
    <mergeCell ref="M111:N111"/>
    <mergeCell ref="I110:K110"/>
    <mergeCell ref="M110:N110"/>
    <mergeCell ref="E107:F107"/>
    <mergeCell ref="E108:F108"/>
    <mergeCell ref="E111:F111"/>
    <mergeCell ref="I123:K123"/>
    <mergeCell ref="E86:F86"/>
    <mergeCell ref="E112:F112"/>
    <mergeCell ref="I112:K112"/>
    <mergeCell ref="E122:F122"/>
    <mergeCell ref="E113:F113"/>
    <mergeCell ref="E114:F114"/>
    <mergeCell ref="E115:F115"/>
    <mergeCell ref="E91:F91"/>
    <mergeCell ref="E102:F102"/>
    <mergeCell ref="M127:N127"/>
    <mergeCell ref="I113:K113"/>
    <mergeCell ref="M113:N113"/>
    <mergeCell ref="E126:F126"/>
    <mergeCell ref="I126:K126"/>
    <mergeCell ref="M126:N126"/>
    <mergeCell ref="E116:F116"/>
    <mergeCell ref="I116:K116"/>
    <mergeCell ref="M116:N116"/>
    <mergeCell ref="E123:F123"/>
    <mergeCell ref="E130:F130"/>
    <mergeCell ref="I130:K130"/>
    <mergeCell ref="M130:N130"/>
    <mergeCell ref="M123:N123"/>
    <mergeCell ref="E124:F124"/>
    <mergeCell ref="E129:F129"/>
    <mergeCell ref="I129:K129"/>
    <mergeCell ref="M129:N129"/>
    <mergeCell ref="E127:F127"/>
    <mergeCell ref="I127:K127"/>
    <mergeCell ref="E133:F133"/>
    <mergeCell ref="I133:K133"/>
    <mergeCell ref="M133:N133"/>
    <mergeCell ref="E131:F131"/>
    <mergeCell ref="I131:K131"/>
    <mergeCell ref="M131:N131"/>
    <mergeCell ref="I137:K137"/>
    <mergeCell ref="M137:N137"/>
    <mergeCell ref="E134:F134"/>
    <mergeCell ref="I134:K134"/>
    <mergeCell ref="M134:N134"/>
    <mergeCell ref="E135:F135"/>
    <mergeCell ref="I135:K135"/>
    <mergeCell ref="M135:N135"/>
    <mergeCell ref="E137:F137"/>
    <mergeCell ref="E136:F136"/>
    <mergeCell ref="E142:F142"/>
    <mergeCell ref="I142:K142"/>
    <mergeCell ref="M142:N142"/>
    <mergeCell ref="E138:F138"/>
    <mergeCell ref="I138:K138"/>
    <mergeCell ref="M138:N138"/>
    <mergeCell ref="I12:O12"/>
    <mergeCell ref="E141:F141"/>
    <mergeCell ref="I141:K141"/>
    <mergeCell ref="M141:N141"/>
    <mergeCell ref="E139:F139"/>
    <mergeCell ref="I139:K139"/>
    <mergeCell ref="M139:N139"/>
    <mergeCell ref="E85:F85"/>
    <mergeCell ref="E76:F76"/>
    <mergeCell ref="I76:K76"/>
    <mergeCell ref="E144:F144"/>
    <mergeCell ref="I144:K144"/>
    <mergeCell ref="M144:N144"/>
    <mergeCell ref="A235:C235"/>
    <mergeCell ref="E235:F235"/>
    <mergeCell ref="E178:F178"/>
    <mergeCell ref="I178:K178"/>
    <mergeCell ref="M178:N178"/>
    <mergeCell ref="E186:F186"/>
    <mergeCell ref="I186:K186"/>
    <mergeCell ref="E145:F145"/>
    <mergeCell ref="I145:K145"/>
    <mergeCell ref="M145:N145"/>
    <mergeCell ref="E230:F230"/>
    <mergeCell ref="I230:K230"/>
    <mergeCell ref="M230:N230"/>
    <mergeCell ref="M186:N186"/>
    <mergeCell ref="E184:F184"/>
    <mergeCell ref="I184:K184"/>
    <mergeCell ref="M184:N184"/>
    <mergeCell ref="E147:F147"/>
    <mergeCell ref="I147:K147"/>
    <mergeCell ref="M147:N147"/>
    <mergeCell ref="A207:C207"/>
    <mergeCell ref="E207:F207"/>
    <mergeCell ref="I207:K207"/>
    <mergeCell ref="M207:N207"/>
    <mergeCell ref="E190:F190"/>
    <mergeCell ref="I190:K190"/>
    <mergeCell ref="M190:N190"/>
    <mergeCell ref="E187:F187"/>
    <mergeCell ref="I187:K187"/>
    <mergeCell ref="M187:N187"/>
    <mergeCell ref="E192:F192"/>
    <mergeCell ref="E191:F191"/>
    <mergeCell ref="E188:F188"/>
    <mergeCell ref="I192:K192"/>
    <mergeCell ref="M192:N192"/>
    <mergeCell ref="I191:K191"/>
    <mergeCell ref="M191:N191"/>
    <mergeCell ref="E195:F195"/>
    <mergeCell ref="I195:K195"/>
    <mergeCell ref="M195:N195"/>
    <mergeCell ref="I175:K175"/>
    <mergeCell ref="M189:N189"/>
    <mergeCell ref="E181:F181"/>
    <mergeCell ref="I181:K181"/>
    <mergeCell ref="M181:N181"/>
    <mergeCell ref="E182:F182"/>
    <mergeCell ref="E185:F185"/>
    <mergeCell ref="E148:F148"/>
    <mergeCell ref="I148:K148"/>
    <mergeCell ref="M148:N148"/>
    <mergeCell ref="I152:K152"/>
    <mergeCell ref="E167:F167"/>
    <mergeCell ref="M152:N152"/>
    <mergeCell ref="M175:N175"/>
    <mergeCell ref="E153:F153"/>
    <mergeCell ref="I153:K153"/>
    <mergeCell ref="M153:N153"/>
    <mergeCell ref="I170:K170"/>
    <mergeCell ref="M170:N170"/>
    <mergeCell ref="I174:K174"/>
    <mergeCell ref="E175:F175"/>
    <mergeCell ref="E171:F171"/>
    <mergeCell ref="E174:F174"/>
    <mergeCell ref="E152:F152"/>
    <mergeCell ref="E189:F189"/>
    <mergeCell ref="E162:F162"/>
    <mergeCell ref="E177:F177"/>
    <mergeCell ref="E156:F156"/>
    <mergeCell ref="E161:F161"/>
    <mergeCell ref="E163:F163"/>
    <mergeCell ref="E168:F168"/>
    <mergeCell ref="M164:N164"/>
    <mergeCell ref="M174:N174"/>
    <mergeCell ref="M171:N171"/>
    <mergeCell ref="M173:N173"/>
    <mergeCell ref="M172:N172"/>
    <mergeCell ref="M169:N169"/>
    <mergeCell ref="I161:K161"/>
    <mergeCell ref="M161:N161"/>
    <mergeCell ref="M168:N168"/>
    <mergeCell ref="I167:K167"/>
    <mergeCell ref="M167:N167"/>
    <mergeCell ref="M162:N162"/>
    <mergeCell ref="I163:K163"/>
    <mergeCell ref="M163:N163"/>
    <mergeCell ref="I166:K166"/>
    <mergeCell ref="M166:N166"/>
    <mergeCell ref="I164:K164"/>
    <mergeCell ref="A60:C60"/>
    <mergeCell ref="E166:F166"/>
    <mergeCell ref="E164:F164"/>
    <mergeCell ref="E110:F110"/>
    <mergeCell ref="A77:C77"/>
    <mergeCell ref="A78:C78"/>
    <mergeCell ref="A76:C76"/>
    <mergeCell ref="A68:C68"/>
    <mergeCell ref="A69:C69"/>
    <mergeCell ref="A19:C19"/>
    <mergeCell ref="I85:K85"/>
    <mergeCell ref="M85:N85"/>
    <mergeCell ref="E79:F79"/>
    <mergeCell ref="A34:C34"/>
    <mergeCell ref="A35:C35"/>
    <mergeCell ref="A51:C51"/>
    <mergeCell ref="I79:K79"/>
    <mergeCell ref="M79:N79"/>
    <mergeCell ref="E78:F78"/>
    <mergeCell ref="A14:C14"/>
    <mergeCell ref="A16:C16"/>
    <mergeCell ref="A17:C17"/>
    <mergeCell ref="A18:C18"/>
    <mergeCell ref="A15:C15"/>
    <mergeCell ref="A20:C20"/>
    <mergeCell ref="A21:C21"/>
    <mergeCell ref="A24:C24"/>
    <mergeCell ref="A27:C27"/>
    <mergeCell ref="A22:C22"/>
    <mergeCell ref="A23:C23"/>
    <mergeCell ref="A25:C25"/>
    <mergeCell ref="A53:C53"/>
    <mergeCell ref="A56:C56"/>
    <mergeCell ref="A61:C61"/>
    <mergeCell ref="A71:C71"/>
    <mergeCell ref="A47:C47"/>
    <mergeCell ref="A48:C48"/>
    <mergeCell ref="A52:C52"/>
    <mergeCell ref="A49:C49"/>
    <mergeCell ref="A113:C113"/>
    <mergeCell ref="A116:C116"/>
    <mergeCell ref="A73:C73"/>
    <mergeCell ref="A74:C74"/>
    <mergeCell ref="A91:C91"/>
    <mergeCell ref="A103:C103"/>
    <mergeCell ref="A104:C104"/>
    <mergeCell ref="A105:C105"/>
    <mergeCell ref="A107:C107"/>
    <mergeCell ref="A102:C102"/>
    <mergeCell ref="A79:C79"/>
    <mergeCell ref="A85:C85"/>
    <mergeCell ref="A86:C86"/>
    <mergeCell ref="A111:C111"/>
    <mergeCell ref="A110:C110"/>
    <mergeCell ref="A83:C83"/>
    <mergeCell ref="A84:C84"/>
    <mergeCell ref="A94:C94"/>
    <mergeCell ref="A95:C95"/>
    <mergeCell ref="A97:C97"/>
    <mergeCell ref="A135:C135"/>
    <mergeCell ref="A129:C129"/>
    <mergeCell ref="A142:C142"/>
    <mergeCell ref="A123:C123"/>
    <mergeCell ref="A124:C124"/>
    <mergeCell ref="A156:C156"/>
    <mergeCell ref="A162:C162"/>
    <mergeCell ref="A163:C163"/>
    <mergeCell ref="A126:C126"/>
    <mergeCell ref="A127:C127"/>
    <mergeCell ref="A144:C144"/>
    <mergeCell ref="A130:C130"/>
    <mergeCell ref="A131:C131"/>
    <mergeCell ref="A133:C133"/>
    <mergeCell ref="A134:C134"/>
    <mergeCell ref="A169:C169"/>
    <mergeCell ref="A166:C166"/>
    <mergeCell ref="A167:C167"/>
    <mergeCell ref="A168:C168"/>
    <mergeCell ref="A145:C145"/>
    <mergeCell ref="A137:C137"/>
    <mergeCell ref="A138:C138"/>
    <mergeCell ref="A139:C139"/>
    <mergeCell ref="A141:C141"/>
    <mergeCell ref="A140:C140"/>
    <mergeCell ref="A143:C143"/>
    <mergeCell ref="A161:C161"/>
    <mergeCell ref="A164:C164"/>
    <mergeCell ref="A147:C147"/>
    <mergeCell ref="A148:C148"/>
    <mergeCell ref="A152:C152"/>
    <mergeCell ref="A153:C153"/>
    <mergeCell ref="A149:C149"/>
    <mergeCell ref="A154:C154"/>
    <mergeCell ref="A157:C157"/>
    <mergeCell ref="A151:C151"/>
    <mergeCell ref="A176:C176"/>
    <mergeCell ref="A175:C175"/>
    <mergeCell ref="A177:C177"/>
    <mergeCell ref="A170:C170"/>
    <mergeCell ref="A171:C171"/>
    <mergeCell ref="A172:C172"/>
    <mergeCell ref="A173:C173"/>
    <mergeCell ref="A174:C174"/>
    <mergeCell ref="A178:C178"/>
    <mergeCell ref="A181:C181"/>
    <mergeCell ref="A184:C184"/>
    <mergeCell ref="A187:C187"/>
    <mergeCell ref="A182:C182"/>
    <mergeCell ref="A185:C185"/>
    <mergeCell ref="A186:C186"/>
    <mergeCell ref="A183:C183"/>
    <mergeCell ref="A213:C213"/>
    <mergeCell ref="A199:C199"/>
    <mergeCell ref="A194:C194"/>
    <mergeCell ref="A189:C189"/>
    <mergeCell ref="A201:C201"/>
    <mergeCell ref="A190:C190"/>
    <mergeCell ref="A191:C191"/>
    <mergeCell ref="A192:C192"/>
    <mergeCell ref="A196:C196"/>
    <mergeCell ref="A197:C197"/>
    <mergeCell ref="A205:C205"/>
    <mergeCell ref="A210:C210"/>
    <mergeCell ref="A188:C188"/>
    <mergeCell ref="A195:C195"/>
    <mergeCell ref="A198:C198"/>
    <mergeCell ref="G12:G13"/>
    <mergeCell ref="A231:C231"/>
    <mergeCell ref="M15:N15"/>
    <mergeCell ref="A67:C67"/>
    <mergeCell ref="E67:F67"/>
    <mergeCell ref="I67:K67"/>
    <mergeCell ref="M67:N67"/>
    <mergeCell ref="A59:C59"/>
    <mergeCell ref="A54:C54"/>
    <mergeCell ref="A55:C55"/>
    <mergeCell ref="A12:C13"/>
    <mergeCell ref="D12:D13"/>
    <mergeCell ref="E12:F13"/>
    <mergeCell ref="A57:C57"/>
    <mergeCell ref="A50:C50"/>
    <mergeCell ref="A39:C39"/>
    <mergeCell ref="A40:C40"/>
    <mergeCell ref="A45:C45"/>
    <mergeCell ref="A46:C46"/>
    <mergeCell ref="A29:C29"/>
    <mergeCell ref="E22:F22"/>
    <mergeCell ref="E23:F23"/>
    <mergeCell ref="E25:F25"/>
    <mergeCell ref="E26:F26"/>
    <mergeCell ref="E28:F28"/>
    <mergeCell ref="E31:F31"/>
    <mergeCell ref="E38:F38"/>
    <mergeCell ref="E41:F41"/>
    <mergeCell ref="E40:F40"/>
    <mergeCell ref="E35:F35"/>
    <mergeCell ref="E33:F33"/>
    <mergeCell ref="E30:F30"/>
    <mergeCell ref="E36:F36"/>
    <mergeCell ref="E37:F37"/>
    <mergeCell ref="E61:F61"/>
    <mergeCell ref="E71:F71"/>
    <mergeCell ref="E75:F75"/>
    <mergeCell ref="E80:F80"/>
    <mergeCell ref="E77:F77"/>
    <mergeCell ref="E69:F69"/>
    <mergeCell ref="E62:F62"/>
    <mergeCell ref="E63:F63"/>
    <mergeCell ref="E125:F125"/>
    <mergeCell ref="E128:F128"/>
    <mergeCell ref="E82:F82"/>
    <mergeCell ref="E87:F87"/>
    <mergeCell ref="E90:F90"/>
    <mergeCell ref="E92:F92"/>
    <mergeCell ref="E83:F83"/>
    <mergeCell ref="E84:F84"/>
    <mergeCell ref="E99:F99"/>
    <mergeCell ref="E165:F165"/>
    <mergeCell ref="E179:F179"/>
    <mergeCell ref="E180:F180"/>
    <mergeCell ref="E149:F149"/>
    <mergeCell ref="E151:F151"/>
    <mergeCell ref="E154:F154"/>
    <mergeCell ref="E172:F172"/>
    <mergeCell ref="E169:F169"/>
    <mergeCell ref="E173:F173"/>
    <mergeCell ref="E170:F170"/>
    <mergeCell ref="A30:C30"/>
    <mergeCell ref="A32:C32"/>
    <mergeCell ref="A33:C33"/>
    <mergeCell ref="A43:C43"/>
    <mergeCell ref="A36:C36"/>
    <mergeCell ref="A37:C37"/>
    <mergeCell ref="A42:C42"/>
    <mergeCell ref="A75:C75"/>
    <mergeCell ref="E183:F183"/>
    <mergeCell ref="E157:F157"/>
    <mergeCell ref="E132:F132"/>
    <mergeCell ref="E140:F140"/>
    <mergeCell ref="E143:F143"/>
    <mergeCell ref="E146:F146"/>
    <mergeCell ref="E119:F119"/>
    <mergeCell ref="A80:C80"/>
    <mergeCell ref="A82:C82"/>
    <mergeCell ref="A58:C58"/>
    <mergeCell ref="A70:C70"/>
    <mergeCell ref="A26:C26"/>
    <mergeCell ref="A31:C31"/>
    <mergeCell ref="A38:C38"/>
    <mergeCell ref="A41:C41"/>
    <mergeCell ref="A28:C28"/>
    <mergeCell ref="A62:C62"/>
    <mergeCell ref="A63:C63"/>
    <mergeCell ref="A44:C44"/>
    <mergeCell ref="A234:C234"/>
    <mergeCell ref="E234:F234"/>
    <mergeCell ref="E214:F214"/>
    <mergeCell ref="E215:F215"/>
    <mergeCell ref="E217:F217"/>
    <mergeCell ref="A214:C214"/>
    <mergeCell ref="A232:C232"/>
    <mergeCell ref="A233:C233"/>
    <mergeCell ref="A230:C230"/>
    <mergeCell ref="E231:F231"/>
    <mergeCell ref="E206:F206"/>
    <mergeCell ref="E193:F193"/>
    <mergeCell ref="E194:F194"/>
    <mergeCell ref="E196:F196"/>
    <mergeCell ref="E197:F197"/>
    <mergeCell ref="E203:F203"/>
    <mergeCell ref="E205:F205"/>
    <mergeCell ref="E199:F199"/>
    <mergeCell ref="E200:F200"/>
    <mergeCell ref="E202:F202"/>
    <mergeCell ref="A90:C90"/>
    <mergeCell ref="A125:C125"/>
    <mergeCell ref="A128:C128"/>
    <mergeCell ref="A92:C92"/>
    <mergeCell ref="A119:C119"/>
    <mergeCell ref="A122:C122"/>
    <mergeCell ref="A106:C106"/>
    <mergeCell ref="A109:C109"/>
    <mergeCell ref="A115:C115"/>
    <mergeCell ref="A112:C112"/>
    <mergeCell ref="A217:C217"/>
    <mergeCell ref="A206:C206"/>
    <mergeCell ref="A215:C215"/>
    <mergeCell ref="A146:C146"/>
    <mergeCell ref="A216:C216"/>
    <mergeCell ref="A209:C209"/>
    <mergeCell ref="A202:C202"/>
    <mergeCell ref="A208:C208"/>
    <mergeCell ref="A203:C203"/>
    <mergeCell ref="A204:C204"/>
    <mergeCell ref="A132:C132"/>
    <mergeCell ref="A87:C87"/>
    <mergeCell ref="A212:C212"/>
    <mergeCell ref="A136:C136"/>
    <mergeCell ref="A200:C200"/>
    <mergeCell ref="A165:C165"/>
    <mergeCell ref="A179:C179"/>
    <mergeCell ref="A193:C193"/>
    <mergeCell ref="A211:C211"/>
    <mergeCell ref="A180:C180"/>
  </mergeCells>
  <printOptions/>
  <pageMargins left="0.7874015748031497" right="0.1968503937007874" top="0.5905511811023623" bottom="0.1968503937007874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Первый</cp:lastModifiedBy>
  <cp:lastPrinted>2015-02-27T12:30:01Z</cp:lastPrinted>
  <dcterms:created xsi:type="dcterms:W3CDTF">2014-11-08T09:26:37Z</dcterms:created>
  <dcterms:modified xsi:type="dcterms:W3CDTF">2016-01-19T07:14:58Z</dcterms:modified>
  <cp:category/>
  <cp:version/>
  <cp:contentType/>
  <cp:contentStatus/>
</cp:coreProperties>
</file>